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uldenhousecoop-my.sharepoint.com/personal/accounts_gouldenhouse_org/Documents/01 ACCOUNTS/05 REPORTINGS/02 BUDGETS/2026/"/>
    </mc:Choice>
  </mc:AlternateContent>
  <xr:revisionPtr revIDLastSave="168" documentId="14_{D9416C80-7E2B-4CE6-A815-AEE3383931EC}" xr6:coauthVersionLast="47" xr6:coauthVersionMax="47" xr10:uidLastSave="{FCB2F8B1-AD39-44F6-8435-B0B5138E049D}"/>
  <bookViews>
    <workbookView xWindow="-108" yWindow="-108" windowWidth="23256" windowHeight="12456" firstSheet="1" activeTab="1" xr2:uid="{00000000-000D-0000-FFFF-FFFF00000000}"/>
  </bookViews>
  <sheets>
    <sheet name="Management Acc 2019-20" sheetId="1" state="hidden" r:id="rId1"/>
    <sheet name="BUDGET 2025-26" sheetId="2" r:id="rId2"/>
    <sheet name="LH &amp; TENANTS EXP SHARING" sheetId="5" r:id="rId3"/>
    <sheet name="Payroll &amp; Cleaning" sheetId="4" r:id="rId4"/>
    <sheet name="WBC - Draft offer" sheetId="6" r:id="rId5"/>
  </sheets>
  <externalReferences>
    <externalReference r:id="rId6"/>
    <externalReference r:id="rId7"/>
  </externalReferences>
  <definedNames>
    <definedName name="_xlnm.Print_Area" localSheetId="1">'BUDGET 2025-26'!$A$1:$G$99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4" l="1"/>
  <c r="F28" i="2" l="1"/>
  <c r="I7" i="4"/>
  <c r="E43" i="2"/>
  <c r="F22" i="2"/>
  <c r="C7" i="4"/>
  <c r="G7" i="4"/>
  <c r="H7" i="4"/>
  <c r="H9" i="4"/>
  <c r="D6" i="4" l="1"/>
  <c r="D90" i="2"/>
  <c r="D84" i="2"/>
  <c r="D78" i="2"/>
  <c r="D75" i="2"/>
  <c r="D74" i="2"/>
  <c r="D64" i="2"/>
  <c r="D67" i="2"/>
  <c r="D66" i="2"/>
  <c r="D63" i="2"/>
  <c r="D61" i="2"/>
  <c r="D58" i="2"/>
  <c r="D60" i="2"/>
  <c r="D59" i="2"/>
  <c r="D56" i="2"/>
  <c r="D48" i="2"/>
  <c r="D46" i="2"/>
  <c r="D44" i="2"/>
  <c r="D43" i="2"/>
  <c r="D35" i="2"/>
  <c r="D24" i="2"/>
  <c r="D12" i="2"/>
  <c r="D34" i="2"/>
  <c r="D33" i="2"/>
  <c r="D23" i="2"/>
  <c r="D22" i="2"/>
  <c r="D21" i="2"/>
  <c r="D13" i="2"/>
  <c r="D11" i="2"/>
  <c r="D10" i="2"/>
  <c r="D9" i="2"/>
  <c r="D8" i="2"/>
  <c r="D7" i="2"/>
  <c r="D6" i="2"/>
  <c r="G6" i="4" l="1"/>
  <c r="L2" i="6" l="1"/>
  <c r="H18" i="6"/>
  <c r="F18" i="6"/>
  <c r="H31" i="6" l="1"/>
  <c r="G42" i="4" l="1"/>
  <c r="F48" i="2"/>
  <c r="F21" i="2" l="1"/>
  <c r="F75" i="2" l="1"/>
  <c r="H10" i="4" l="1"/>
  <c r="G44" i="4" l="1"/>
  <c r="D71" i="2"/>
  <c r="D70" i="2"/>
  <c r="D80" i="2" l="1"/>
  <c r="D38" i="2" l="1"/>
  <c r="F7" i="4" l="1"/>
  <c r="C5" i="4"/>
  <c r="C4" i="4"/>
  <c r="B43" i="5" l="1"/>
  <c r="M46" i="6" l="1"/>
  <c r="M30" i="6"/>
  <c r="N21" i="6"/>
  <c r="N30" i="6" s="1"/>
  <c r="N46" i="6" s="1"/>
  <c r="M21" i="6"/>
  <c r="K9" i="6"/>
  <c r="K8" i="6"/>
  <c r="K7" i="6"/>
  <c r="K6" i="6"/>
  <c r="K5" i="6"/>
  <c r="I5" i="6"/>
  <c r="K4" i="6"/>
  <c r="I4" i="6"/>
  <c r="K3" i="6"/>
  <c r="I3" i="6"/>
  <c r="K2" i="6"/>
  <c r="I2" i="6"/>
  <c r="L30" i="6"/>
  <c r="K30" i="6"/>
  <c r="P21" i="6"/>
  <c r="P30" i="6" s="1"/>
  <c r="P46" i="6" s="1"/>
  <c r="O21" i="6"/>
  <c r="O30" i="6" s="1"/>
  <c r="O46" i="6" s="1"/>
  <c r="I21" i="6"/>
  <c r="K16" i="6"/>
  <c r="K15" i="6"/>
  <c r="K14" i="6"/>
  <c r="K13" i="6"/>
  <c r="K12" i="6"/>
  <c r="N16" i="6" l="1"/>
  <c r="M16" i="6" s="1"/>
  <c r="O16" i="6" s="1"/>
  <c r="P16" i="6" s="1"/>
  <c r="F44" i="6" l="1"/>
  <c r="G43" i="6"/>
  <c r="H43" i="6" s="1"/>
  <c r="H40" i="6"/>
  <c r="G37" i="6"/>
  <c r="H37" i="6" s="1"/>
  <c r="F30" i="6"/>
  <c r="F28" i="6"/>
  <c r="G27" i="6"/>
  <c r="H27" i="6" s="1"/>
  <c r="G23" i="6"/>
  <c r="H23" i="6" s="1"/>
  <c r="G22" i="6"/>
  <c r="H22" i="6" s="1"/>
  <c r="E9" i="6"/>
  <c r="N23" i="6" l="1"/>
  <c r="N27" i="6"/>
  <c r="N22" i="6"/>
  <c r="N40" i="6"/>
  <c r="G49" i="6"/>
  <c r="H49" i="6" s="1"/>
  <c r="G8" i="6"/>
  <c r="I22" i="6" s="1"/>
  <c r="G7" i="6"/>
  <c r="J20" i="6" s="1"/>
  <c r="J29" i="6" s="1"/>
  <c r="G24" i="6"/>
  <c r="G25" i="6" s="1"/>
  <c r="H25" i="6" s="1"/>
  <c r="G31" i="6"/>
  <c r="G47" i="6"/>
  <c r="H47" i="6" s="1"/>
  <c r="H24" i="6"/>
  <c r="G26" i="6" l="1"/>
  <c r="H26" i="6" s="1"/>
  <c r="I26" i="6" s="1"/>
  <c r="J22" i="6"/>
  <c r="K22" i="6"/>
  <c r="I20" i="6"/>
  <c r="I29" i="6" s="1"/>
  <c r="J21" i="6"/>
  <c r="I38" i="6"/>
  <c r="F15" i="6"/>
  <c r="I49" i="6"/>
  <c r="J49" i="6" s="1"/>
  <c r="N49" i="6" s="1"/>
  <c r="I27" i="6"/>
  <c r="J27" i="6" s="1"/>
  <c r="K27" i="6" s="1"/>
  <c r="I39" i="6"/>
  <c r="I40" i="6"/>
  <c r="F14" i="6"/>
  <c r="N14" i="6" s="1"/>
  <c r="M14" i="6" s="1"/>
  <c r="O14" i="6" s="1"/>
  <c r="P14" i="6" s="1"/>
  <c r="I47" i="6"/>
  <c r="I25" i="6"/>
  <c r="N25" i="6"/>
  <c r="I43" i="6"/>
  <c r="I24" i="6"/>
  <c r="J24" i="6" s="1"/>
  <c r="K24" i="6" s="1"/>
  <c r="N24" i="6"/>
  <c r="I37" i="6"/>
  <c r="I23" i="6"/>
  <c r="G32" i="6"/>
  <c r="G14" i="6" l="1"/>
  <c r="H28" i="6"/>
  <c r="F12" i="6" s="1"/>
  <c r="N12" i="6" s="1"/>
  <c r="N26" i="6"/>
  <c r="N28" i="6"/>
  <c r="M24" i="6"/>
  <c r="O24" i="6" s="1"/>
  <c r="P24" i="6" s="1"/>
  <c r="L24" i="6"/>
  <c r="N50" i="6"/>
  <c r="L8" i="6"/>
  <c r="E10" i="2" s="1"/>
  <c r="J23" i="6"/>
  <c r="J28" i="6" s="1"/>
  <c r="K49" i="6"/>
  <c r="M27" i="6"/>
  <c r="O27" i="6" s="1"/>
  <c r="P27" i="6" s="1"/>
  <c r="L27" i="6"/>
  <c r="J26" i="6"/>
  <c r="K26" i="6" s="1"/>
  <c r="N15" i="6"/>
  <c r="M15" i="6" s="1"/>
  <c r="O15" i="6" s="1"/>
  <c r="P15" i="6" s="1"/>
  <c r="G15" i="6"/>
  <c r="I31" i="6"/>
  <c r="J40" i="6"/>
  <c r="K40" i="6" s="1"/>
  <c r="J37" i="6"/>
  <c r="N37" i="6" s="1"/>
  <c r="K37" i="6"/>
  <c r="J38" i="6"/>
  <c r="N38" i="6" s="1"/>
  <c r="J43" i="6"/>
  <c r="N43" i="6" s="1"/>
  <c r="L22" i="6"/>
  <c r="J47" i="6"/>
  <c r="N47" i="6" s="1"/>
  <c r="L7" i="6" s="1"/>
  <c r="E9" i="2" s="1"/>
  <c r="M22" i="6"/>
  <c r="I28" i="6"/>
  <c r="J25" i="6"/>
  <c r="K25" i="6" s="1"/>
  <c r="J39" i="6"/>
  <c r="N39" i="6" s="1"/>
  <c r="G33" i="6"/>
  <c r="H32" i="6"/>
  <c r="M12" i="6" l="1"/>
  <c r="G12" i="6"/>
  <c r="K47" i="6"/>
  <c r="M47" i="6" s="1"/>
  <c r="O47" i="6" s="1"/>
  <c r="P47" i="6" s="1"/>
  <c r="M26" i="6"/>
  <c r="O26" i="6" s="1"/>
  <c r="P26" i="6" s="1"/>
  <c r="L26" i="6"/>
  <c r="M25" i="6"/>
  <c r="O25" i="6" s="1"/>
  <c r="P25" i="6" s="1"/>
  <c r="L25" i="6"/>
  <c r="K38" i="6"/>
  <c r="M37" i="6"/>
  <c r="O37" i="6" s="1"/>
  <c r="P37" i="6" s="1"/>
  <c r="L37" i="6"/>
  <c r="M49" i="6"/>
  <c r="L49" i="6"/>
  <c r="O12" i="6"/>
  <c r="P12" i="6" s="1"/>
  <c r="K23" i="6"/>
  <c r="O22" i="6"/>
  <c r="I32" i="6"/>
  <c r="J32" i="6"/>
  <c r="N32" i="6" s="1"/>
  <c r="M40" i="6"/>
  <c r="O40" i="6" s="1"/>
  <c r="L9" i="6" s="1"/>
  <c r="L40" i="6"/>
  <c r="J31" i="6"/>
  <c r="N31" i="6" s="1"/>
  <c r="K39" i="6"/>
  <c r="K43" i="6"/>
  <c r="G34" i="6"/>
  <c r="H33" i="6"/>
  <c r="F79" i="2"/>
  <c r="F85" i="2"/>
  <c r="F86" i="2"/>
  <c r="F84" i="2"/>
  <c r="F57" i="2"/>
  <c r="F58" i="2"/>
  <c r="F61" i="2"/>
  <c r="F62" i="2"/>
  <c r="F63" i="2"/>
  <c r="F64" i="2"/>
  <c r="F65" i="2"/>
  <c r="F66" i="2"/>
  <c r="F67" i="2"/>
  <c r="F69" i="2"/>
  <c r="F71" i="2"/>
  <c r="F72" i="2"/>
  <c r="F74" i="2"/>
  <c r="F76" i="2"/>
  <c r="F77" i="2"/>
  <c r="F78" i="2"/>
  <c r="F56" i="2"/>
  <c r="F47" i="2"/>
  <c r="F50" i="2"/>
  <c r="F51" i="2"/>
  <c r="F34" i="2"/>
  <c r="F35" i="2"/>
  <c r="F36" i="2"/>
  <c r="F37" i="2"/>
  <c r="F38" i="2"/>
  <c r="F29" i="2"/>
  <c r="F30" i="2"/>
  <c r="F31" i="2"/>
  <c r="F32" i="2"/>
  <c r="F33" i="2"/>
  <c r="F23" i="2"/>
  <c r="F24" i="2"/>
  <c r="F25" i="2"/>
  <c r="F26" i="2"/>
  <c r="D35" i="5"/>
  <c r="C35" i="5"/>
  <c r="D23" i="5"/>
  <c r="C23" i="5"/>
  <c r="D22" i="5"/>
  <c r="D34" i="5"/>
  <c r="C34" i="5"/>
  <c r="A11" i="5"/>
  <c r="A34" i="5" s="1"/>
  <c r="E23" i="5"/>
  <c r="A10" i="5"/>
  <c r="C22" i="5"/>
  <c r="A9" i="5"/>
  <c r="D24" i="5"/>
  <c r="D36" i="5" s="1"/>
  <c r="C24" i="5"/>
  <c r="C36" i="5" s="1"/>
  <c r="A8" i="5"/>
  <c r="C32" i="5"/>
  <c r="K31" i="6" l="1"/>
  <c r="K46" i="6" s="1"/>
  <c r="L47" i="6"/>
  <c r="P40" i="6"/>
  <c r="E11" i="2"/>
  <c r="M50" i="6"/>
  <c r="O49" i="6"/>
  <c r="I33" i="6"/>
  <c r="J33" i="6" s="1"/>
  <c r="N33" i="6" s="1"/>
  <c r="K32" i="6"/>
  <c r="M39" i="6"/>
  <c r="O39" i="6" s="1"/>
  <c r="P39" i="6" s="1"/>
  <c r="L39" i="6"/>
  <c r="M43" i="6"/>
  <c r="O43" i="6" s="1"/>
  <c r="P43" i="6" s="1"/>
  <c r="L43" i="6"/>
  <c r="M38" i="6"/>
  <c r="O38" i="6" s="1"/>
  <c r="P38" i="6" s="1"/>
  <c r="L38" i="6"/>
  <c r="P22" i="6"/>
  <c r="M23" i="6"/>
  <c r="L23" i="6"/>
  <c r="L28" i="6" s="1"/>
  <c r="K28" i="6"/>
  <c r="G35" i="6"/>
  <c r="G41" i="6"/>
  <c r="H34" i="6"/>
  <c r="C7" i="5"/>
  <c r="C19" i="5"/>
  <c r="C37" i="5"/>
  <c r="C39" i="5" s="1"/>
  <c r="D37" i="5"/>
  <c r="D32" i="5"/>
  <c r="E32" i="5"/>
  <c r="E34" i="5"/>
  <c r="C12" i="5"/>
  <c r="C21" i="5"/>
  <c r="C25" i="5" s="1"/>
  <c r="D12" i="5"/>
  <c r="D21" i="5"/>
  <c r="D25" i="5" s="1"/>
  <c r="L31" i="6" l="1"/>
  <c r="L46" i="6" s="1"/>
  <c r="M31" i="6"/>
  <c r="O31" i="6" s="1"/>
  <c r="P31" i="6" s="1"/>
  <c r="O23" i="6"/>
  <c r="M28" i="6"/>
  <c r="M32" i="6"/>
  <c r="O32" i="6" s="1"/>
  <c r="P32" i="6" s="1"/>
  <c r="L32" i="6"/>
  <c r="D39" i="5"/>
  <c r="K33" i="6"/>
  <c r="O50" i="6"/>
  <c r="P49" i="6"/>
  <c r="P50" i="6" s="1"/>
  <c r="I34" i="6"/>
  <c r="G42" i="6"/>
  <c r="H42" i="6" s="1"/>
  <c r="H41" i="6"/>
  <c r="G36" i="6"/>
  <c r="H36" i="6" s="1"/>
  <c r="H35" i="6"/>
  <c r="E24" i="5"/>
  <c r="E36" i="5" s="1"/>
  <c r="E21" i="5"/>
  <c r="E12" i="5"/>
  <c r="C27" i="5"/>
  <c r="C41" i="5" s="1"/>
  <c r="D7" i="5"/>
  <c r="D14" i="5" s="1"/>
  <c r="D19" i="5"/>
  <c r="D27" i="5" s="1"/>
  <c r="D41" i="5" s="1"/>
  <c r="C14" i="5"/>
  <c r="E35" i="5"/>
  <c r="E37" i="5" s="1"/>
  <c r="E39" i="5" s="1"/>
  <c r="E22" i="5"/>
  <c r="M33" i="6" l="1"/>
  <c r="O33" i="6" s="1"/>
  <c r="P33" i="6" s="1"/>
  <c r="L33" i="6"/>
  <c r="J34" i="6"/>
  <c r="N34" i="6" s="1"/>
  <c r="I36" i="6"/>
  <c r="J36" i="6" s="1"/>
  <c r="N36" i="6" s="1"/>
  <c r="L4" i="6" s="1"/>
  <c r="I35" i="6"/>
  <c r="J35" i="6" s="1"/>
  <c r="N35" i="6" s="1"/>
  <c r="I41" i="6"/>
  <c r="J41" i="6"/>
  <c r="N41" i="6" s="1"/>
  <c r="J2" i="6"/>
  <c r="I42" i="6"/>
  <c r="P23" i="6"/>
  <c r="O28" i="6"/>
  <c r="H44" i="6"/>
  <c r="E25" i="5"/>
  <c r="E7" i="5"/>
  <c r="E14" i="5" s="1"/>
  <c r="E19" i="5"/>
  <c r="F13" i="6" l="1"/>
  <c r="N13" i="6" s="1"/>
  <c r="K41" i="6"/>
  <c r="K35" i="6"/>
  <c r="J42" i="6"/>
  <c r="N42" i="6" s="1"/>
  <c r="K42" i="6"/>
  <c r="I44" i="6"/>
  <c r="P28" i="6"/>
  <c r="K36" i="6"/>
  <c r="K34" i="6"/>
  <c r="E6" i="2"/>
  <c r="E70" i="2"/>
  <c r="F70" i="2" s="1"/>
  <c r="D5" i="4"/>
  <c r="E5" i="4" s="1"/>
  <c r="D4" i="4"/>
  <c r="D7" i="4" s="1"/>
  <c r="E60" i="2"/>
  <c r="F60" i="2" s="1"/>
  <c r="D91" i="2"/>
  <c r="D20" i="2"/>
  <c r="D19" i="2"/>
  <c r="D41" i="2" s="1"/>
  <c r="D54" i="2" s="1"/>
  <c r="D82" i="2" s="1"/>
  <c r="C80" i="2"/>
  <c r="C52" i="2"/>
  <c r="E39" i="2"/>
  <c r="C16" i="2"/>
  <c r="C39" i="2"/>
  <c r="C91" i="2"/>
  <c r="G13" i="6" l="1"/>
  <c r="G18" i="6" s="1"/>
  <c r="G46" i="4"/>
  <c r="F44" i="2" s="1"/>
  <c r="J44" i="6"/>
  <c r="N44" i="6" s="1"/>
  <c r="M35" i="6"/>
  <c r="O35" i="6" s="1"/>
  <c r="P35" i="6" s="1"/>
  <c r="L35" i="6"/>
  <c r="M41" i="6"/>
  <c r="O41" i="6" s="1"/>
  <c r="P41" i="6" s="1"/>
  <c r="L41" i="6"/>
  <c r="G5" i="4"/>
  <c r="I5" i="4" s="1"/>
  <c r="M36" i="6"/>
  <c r="L36" i="6"/>
  <c r="E80" i="2"/>
  <c r="B10" i="5" s="1"/>
  <c r="M42" i="6"/>
  <c r="O42" i="6" s="1"/>
  <c r="P42" i="6" s="1"/>
  <c r="L42" i="6"/>
  <c r="M34" i="6"/>
  <c r="O34" i="6" s="1"/>
  <c r="P34" i="6" s="1"/>
  <c r="L34" i="6"/>
  <c r="M13" i="6"/>
  <c r="N17" i="6"/>
  <c r="B8" i="5"/>
  <c r="B21" i="5" s="1"/>
  <c r="F39" i="2"/>
  <c r="E4" i="4"/>
  <c r="E7" i="4" s="1"/>
  <c r="C94" i="2"/>
  <c r="C96" i="2"/>
  <c r="K44" i="6" l="1"/>
  <c r="L44" i="6" s="1"/>
  <c r="F80" i="2"/>
  <c r="B23" i="5"/>
  <c r="B24" i="5"/>
  <c r="B36" i="5" s="1"/>
  <c r="O13" i="6"/>
  <c r="P13" i="6" s="1"/>
  <c r="M17" i="6"/>
  <c r="O36" i="6"/>
  <c r="P36" i="6" s="1"/>
  <c r="J3" i="6"/>
  <c r="N45" i="6"/>
  <c r="L5" i="6" s="1"/>
  <c r="L10" i="6" s="1"/>
  <c r="N51" i="6"/>
  <c r="G4" i="4"/>
  <c r="E45" i="2"/>
  <c r="F45" i="2" s="1"/>
  <c r="E91" i="2"/>
  <c r="C20" i="2"/>
  <c r="C42" i="2" s="1"/>
  <c r="C55" i="2" s="1"/>
  <c r="C83" i="2" s="1"/>
  <c r="C97" i="2"/>
  <c r="K36" i="2"/>
  <c r="E99" i="1"/>
  <c r="C99" i="1"/>
  <c r="B99" i="1"/>
  <c r="C90" i="1"/>
  <c r="E88" i="1"/>
  <c r="C88" i="1"/>
  <c r="B88" i="1"/>
  <c r="C83" i="1"/>
  <c r="C81" i="1"/>
  <c r="B81" i="1"/>
  <c r="F79" i="1"/>
  <c r="E78" i="1"/>
  <c r="E81" i="1" s="1"/>
  <c r="C71" i="1"/>
  <c r="E69" i="1"/>
  <c r="C69" i="1"/>
  <c r="B69" i="1"/>
  <c r="C60" i="1"/>
  <c r="E58" i="1"/>
  <c r="C58" i="1"/>
  <c r="B58" i="1"/>
  <c r="D57" i="1"/>
  <c r="F57" i="1" s="1"/>
  <c r="D56" i="1"/>
  <c r="F56" i="1" s="1"/>
  <c r="D55" i="1"/>
  <c r="F55" i="1" s="1"/>
  <c r="D54" i="1"/>
  <c r="D53" i="1"/>
  <c r="F53" i="1" s="1"/>
  <c r="D52" i="1"/>
  <c r="D51" i="1"/>
  <c r="F51" i="1" s="1"/>
  <c r="C50" i="1"/>
  <c r="C48" i="1"/>
  <c r="B48" i="1"/>
  <c r="E29" i="1"/>
  <c r="E28" i="1"/>
  <c r="E26" i="1"/>
  <c r="E22" i="1"/>
  <c r="C17" i="1"/>
  <c r="C13" i="1"/>
  <c r="C104" i="1" s="1"/>
  <c r="B13" i="1"/>
  <c r="B104" i="1" s="1"/>
  <c r="F12" i="1"/>
  <c r="E11" i="1"/>
  <c r="F10" i="1"/>
  <c r="E9" i="1"/>
  <c r="F9" i="1" s="1"/>
  <c r="G7" i="1"/>
  <c r="G8" i="1" s="1"/>
  <c r="E7" i="1"/>
  <c r="D6" i="1"/>
  <c r="F54" i="1"/>
  <c r="M44" i="6" l="1"/>
  <c r="O44" i="6" s="1"/>
  <c r="B6" i="5"/>
  <c r="O17" i="6"/>
  <c r="P17" i="6" s="1"/>
  <c r="E7" i="2"/>
  <c r="B11" i="5"/>
  <c r="B34" i="5" s="1"/>
  <c r="F91" i="2"/>
  <c r="C98" i="2"/>
  <c r="C99" i="2" s="1"/>
  <c r="C101" i="1"/>
  <c r="C105" i="1" s="1"/>
  <c r="C106" i="1" s="1"/>
  <c r="E13" i="1"/>
  <c r="E104" i="1" s="1"/>
  <c r="E48" i="1"/>
  <c r="E101" i="1" s="1"/>
  <c r="E105" i="1" s="1"/>
  <c r="D42" i="2"/>
  <c r="D55" i="2" s="1"/>
  <c r="D83" i="2" s="1"/>
  <c r="B101" i="1"/>
  <c r="B105" i="1" s="1"/>
  <c r="B106" i="1" s="1"/>
  <c r="K38" i="2"/>
  <c r="F6" i="1"/>
  <c r="F52" i="1"/>
  <c r="F58" i="1" s="1"/>
  <c r="D58" i="1"/>
  <c r="D8" i="1"/>
  <c r="F8" i="1" s="1"/>
  <c r="G9" i="1"/>
  <c r="G11" i="1"/>
  <c r="D11" i="1" s="1"/>
  <c r="F11" i="1" s="1"/>
  <c r="K39" i="2"/>
  <c r="K35" i="2"/>
  <c r="L35" i="2" s="1"/>
  <c r="L36" i="2" s="1"/>
  <c r="D7" i="1"/>
  <c r="K40" i="2"/>
  <c r="K37" i="2"/>
  <c r="E46" i="2" l="1"/>
  <c r="M51" i="6"/>
  <c r="M54" i="6" s="1"/>
  <c r="J4" i="6" s="1"/>
  <c r="E8" i="2" s="1"/>
  <c r="F43" i="2"/>
  <c r="O51" i="6"/>
  <c r="P44" i="6"/>
  <c r="P51" i="6" s="1"/>
  <c r="E106" i="1"/>
  <c r="D13" i="1"/>
  <c r="D104" i="1" s="1"/>
  <c r="F7" i="1"/>
  <c r="F13" i="1" s="1"/>
  <c r="L39" i="2"/>
  <c r="L40" i="2" s="1"/>
  <c r="G10" i="1"/>
  <c r="G12" i="1"/>
  <c r="G18" i="1" s="1"/>
  <c r="L37" i="2"/>
  <c r="L38" i="2" s="1"/>
  <c r="F46" i="2" l="1"/>
  <c r="F52" i="2" s="1"/>
  <c r="E52" i="2"/>
  <c r="B9" i="5" s="1"/>
  <c r="B22" i="5" s="1"/>
  <c r="B25" i="5" s="1"/>
  <c r="J10" i="6"/>
  <c r="K10" i="6" s="1"/>
  <c r="K11" i="6" s="1"/>
  <c r="D18" i="1"/>
  <c r="G19" i="1"/>
  <c r="B35" i="5" l="1"/>
  <c r="B37" i="5" s="1"/>
  <c r="B12" i="5"/>
  <c r="E94" i="2"/>
  <c r="E98" i="2" s="1"/>
  <c r="B5" i="5"/>
  <c r="F18" i="1"/>
  <c r="D19" i="1"/>
  <c r="F19" i="1" s="1"/>
  <c r="G20" i="1"/>
  <c r="D20" i="1" l="1"/>
  <c r="G21" i="1"/>
  <c r="F20" i="1" l="1"/>
  <c r="D21" i="1"/>
  <c r="F21" i="1" s="1"/>
  <c r="G22" i="1"/>
  <c r="E16" i="2" l="1"/>
  <c r="D16" i="2"/>
  <c r="D97" i="2" s="1"/>
  <c r="D22" i="1"/>
  <c r="G23" i="1"/>
  <c r="E97" i="2" l="1"/>
  <c r="E99" i="2" s="1"/>
  <c r="B32" i="5"/>
  <c r="B39" i="5" s="1"/>
  <c r="G24" i="1"/>
  <c r="D23" i="1"/>
  <c r="F23" i="1" s="1"/>
  <c r="F22" i="1"/>
  <c r="B19" i="5" l="1"/>
  <c r="B27" i="5" s="1"/>
  <c r="B41" i="5" s="1"/>
  <c r="B44" i="5" s="1"/>
  <c r="B7" i="5"/>
  <c r="B14" i="5" s="1"/>
  <c r="G25" i="1"/>
  <c r="D24" i="1"/>
  <c r="F24" i="1" l="1"/>
  <c r="G26" i="1"/>
  <c r="D25" i="1"/>
  <c r="F25" i="1" s="1"/>
  <c r="D26" i="1" l="1"/>
  <c r="F26" i="1" s="1"/>
  <c r="G27" i="1"/>
  <c r="D27" i="1" l="1"/>
  <c r="F27" i="1" s="1"/>
  <c r="G28" i="1"/>
  <c r="D28" i="1" l="1"/>
  <c r="F28" i="1" s="1"/>
  <c r="G29" i="1"/>
  <c r="D29" i="1" l="1"/>
  <c r="F29" i="1" s="1"/>
  <c r="G30" i="1"/>
  <c r="D30" i="1" l="1"/>
  <c r="F30" i="1" s="1"/>
  <c r="G31" i="1"/>
  <c r="G32" i="1" l="1"/>
  <c r="D31" i="1"/>
  <c r="F31" i="1" s="1"/>
  <c r="D32" i="1" l="1"/>
  <c r="F32" i="1" s="1"/>
  <c r="G33" i="1"/>
  <c r="G34" i="1" l="1"/>
  <c r="D33" i="1"/>
  <c r="F33" i="1" s="1"/>
  <c r="D34" i="1" l="1"/>
  <c r="F34" i="1" s="1"/>
  <c r="G35" i="1"/>
  <c r="D35" i="1" l="1"/>
  <c r="F35" i="1" s="1"/>
  <c r="G36" i="1"/>
  <c r="G37" i="1" l="1"/>
  <c r="D36" i="1"/>
  <c r="F36" i="1" s="1"/>
  <c r="D39" i="2" l="1"/>
  <c r="D37" i="1"/>
  <c r="F37" i="1" s="1"/>
  <c r="G38" i="1"/>
  <c r="G39" i="1" l="1"/>
  <c r="D38" i="1"/>
  <c r="F38" i="1" s="1"/>
  <c r="G40" i="1" l="1"/>
  <c r="D39" i="1"/>
  <c r="F39" i="1" s="1"/>
  <c r="G41" i="1" l="1"/>
  <c r="D40" i="1"/>
  <c r="F40" i="1" s="1"/>
  <c r="G42" i="1" l="1"/>
  <c r="D41" i="1"/>
  <c r="F41" i="1" s="1"/>
  <c r="G43" i="1" l="1"/>
  <c r="D42" i="1"/>
  <c r="F42" i="1" s="1"/>
  <c r="D43" i="1" l="1"/>
  <c r="F43" i="1" s="1"/>
  <c r="G44" i="1"/>
  <c r="D44" i="1" l="1"/>
  <c r="F44" i="1" s="1"/>
  <c r="G46" i="1"/>
  <c r="D46" i="1" s="1"/>
  <c r="F46" i="1" s="1"/>
  <c r="G45" i="1"/>
  <c r="D45" i="1" l="1"/>
  <c r="F45" i="1" s="1"/>
  <c r="G47" i="1"/>
  <c r="D47" i="1" l="1"/>
  <c r="G51" i="1"/>
  <c r="G52" i="1" s="1"/>
  <c r="G53" i="1" s="1"/>
  <c r="G54" i="1" s="1"/>
  <c r="G55" i="1" s="1"/>
  <c r="G56" i="1" s="1"/>
  <c r="G57" i="1" s="1"/>
  <c r="G61" i="1" s="1"/>
  <c r="D61" i="1" l="1"/>
  <c r="G62" i="1"/>
  <c r="F47" i="1"/>
  <c r="F48" i="1" s="1"/>
  <c r="D48" i="1"/>
  <c r="D62" i="1" l="1"/>
  <c r="F62" i="1" s="1"/>
  <c r="G63" i="1"/>
  <c r="F61" i="1"/>
  <c r="G64" i="1" l="1"/>
  <c r="D63" i="1"/>
  <c r="F63" i="1" s="1"/>
  <c r="G65" i="1" l="1"/>
  <c r="D64" i="1"/>
  <c r="F64" i="1" l="1"/>
  <c r="G66" i="1"/>
  <c r="D65" i="1"/>
  <c r="F65" i="1" s="1"/>
  <c r="G67" i="1" l="1"/>
  <c r="D66" i="1"/>
  <c r="F66" i="1" s="1"/>
  <c r="D67" i="1" l="1"/>
  <c r="G68" i="1"/>
  <c r="D68" i="1" l="1"/>
  <c r="F68" i="1" s="1"/>
  <c r="G72" i="1"/>
  <c r="F67" i="1"/>
  <c r="D52" i="2" l="1"/>
  <c r="D94" i="2" s="1"/>
  <c r="D69" i="1"/>
  <c r="D72" i="1"/>
  <c r="G73" i="1"/>
  <c r="F69" i="1"/>
  <c r="G74" i="1" l="1"/>
  <c r="D73" i="1"/>
  <c r="F73" i="1" s="1"/>
  <c r="F72" i="1"/>
  <c r="G75" i="1" l="1"/>
  <c r="D74" i="1"/>
  <c r="F74" i="1" s="1"/>
  <c r="D75" i="1" l="1"/>
  <c r="G76" i="1"/>
  <c r="G77" i="1" l="1"/>
  <c r="D76" i="1"/>
  <c r="F76" i="1" s="1"/>
  <c r="F75" i="1"/>
  <c r="G78" i="1" l="1"/>
  <c r="D77" i="1"/>
  <c r="F77" i="1" l="1"/>
  <c r="G79" i="1"/>
  <c r="G80" i="1" s="1"/>
  <c r="D78" i="1"/>
  <c r="F78" i="1" s="1"/>
  <c r="G84" i="1" l="1"/>
  <c r="D80" i="1"/>
  <c r="F80" i="1" s="1"/>
  <c r="F81" i="1" s="1"/>
  <c r="D81" i="1" l="1"/>
  <c r="D84" i="1"/>
  <c r="G85" i="1"/>
  <c r="D85" i="1" l="1"/>
  <c r="F85" i="1" s="1"/>
  <c r="G86" i="1"/>
  <c r="F84" i="1"/>
  <c r="D86" i="1" l="1"/>
  <c r="G87" i="1"/>
  <c r="D87" i="1" l="1"/>
  <c r="F87" i="1" s="1"/>
  <c r="G91" i="1"/>
  <c r="F86" i="1"/>
  <c r="F88" i="1" s="1"/>
  <c r="D88" i="1" l="1"/>
  <c r="G92" i="1"/>
  <c r="D91" i="1"/>
  <c r="F91" i="1" l="1"/>
  <c r="G93" i="1"/>
  <c r="D92" i="1"/>
  <c r="F92" i="1" s="1"/>
  <c r="G94" i="1" l="1"/>
  <c r="D93" i="1"/>
  <c r="F93" i="1" s="1"/>
  <c r="D94" i="1" l="1"/>
  <c r="G95" i="1"/>
  <c r="D95" i="1" l="1"/>
  <c r="F95" i="1" s="1"/>
  <c r="G96" i="1"/>
  <c r="F94" i="1"/>
  <c r="D96" i="1" l="1"/>
  <c r="G97" i="1"/>
  <c r="G98" i="1" l="1"/>
  <c r="D98" i="1" s="1"/>
  <c r="F98" i="1" s="1"/>
  <c r="D97" i="1"/>
  <c r="F97" i="1" s="1"/>
  <c r="F96" i="1"/>
  <c r="F99" i="1" s="1"/>
  <c r="F108" i="1" s="1"/>
  <c r="D99" i="1"/>
  <c r="D101" i="1" s="1"/>
  <c r="D105" i="1" s="1"/>
  <c r="D106" i="1" s="1"/>
  <c r="D98" i="2" l="1"/>
  <c r="D9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Godfrey</author>
  </authors>
  <commentList>
    <comment ref="B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Godfrey:</t>
        </r>
        <r>
          <rPr>
            <sz val="9"/>
            <color indexed="81"/>
            <rFont val="Tahoma"/>
            <family val="2"/>
          </rPr>
          <t xml:space="preserve">
uplifted 2013/14 figure</t>
        </r>
      </text>
    </comment>
    <comment ref="C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Godfrey:</t>
        </r>
        <r>
          <rPr>
            <sz val="9"/>
            <color indexed="81"/>
            <rFont val="Tahoma"/>
            <family val="2"/>
          </rPr>
          <t xml:space="preserve">
uplifted 2013/14 figure</t>
        </r>
      </text>
    </comment>
    <comment ref="A1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Godfrey:</t>
        </r>
        <r>
          <rPr>
            <sz val="9"/>
            <color indexed="81"/>
            <rFont val="Tahoma"/>
            <family val="2"/>
          </rPr>
          <t xml:space="preserve">
microsolv</t>
        </r>
      </text>
    </comment>
    <comment ref="A2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Godfrey:</t>
        </r>
        <r>
          <rPr>
            <sz val="9"/>
            <color indexed="81"/>
            <rFont val="Tahoma"/>
            <family val="2"/>
          </rPr>
          <t xml:space="preserve">
uplifted 2013/14</t>
        </r>
      </text>
    </comment>
    <comment ref="A2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Godfrey:</t>
        </r>
        <r>
          <rPr>
            <sz val="9"/>
            <color indexed="81"/>
            <rFont val="Tahoma"/>
            <family val="2"/>
          </rPr>
          <t xml:space="preserve">
uplifted 2013/14</t>
        </r>
      </text>
    </comment>
    <comment ref="A2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Godfrey:</t>
        </r>
        <r>
          <rPr>
            <sz val="9"/>
            <color indexed="81"/>
            <rFont val="Tahoma"/>
            <family val="2"/>
          </rPr>
          <t xml:space="preserve">
average is about £650 per quarter</t>
        </r>
      </text>
    </comment>
    <comment ref="A2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Godfrey:</t>
        </r>
        <r>
          <rPr>
            <sz val="9"/>
            <color indexed="81"/>
            <rFont val="Tahoma"/>
            <family val="2"/>
          </rPr>
          <t xml:space="preserve">
Monthly rent is £468 (use £480), rates estimating £1,500 pa</t>
        </r>
      </text>
    </comment>
    <comment ref="A30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Godfrey:</t>
        </r>
        <r>
          <rPr>
            <sz val="9"/>
            <color indexed="81"/>
            <rFont val="Tahoma"/>
            <family val="2"/>
          </rPr>
          <t xml:space="preserve">
Monthly rent is £468 (use £480), rates estimating £1,500 pa</t>
        </r>
      </text>
    </comment>
    <comment ref="A3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Godfrey:</t>
        </r>
        <r>
          <rPr>
            <sz val="9"/>
            <color indexed="81"/>
            <rFont val="Tahoma"/>
            <family val="2"/>
          </rPr>
          <t xml:space="preserve">
monthly average is £400 (£368)</t>
        </r>
      </text>
    </comment>
    <comment ref="A3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Godfrey:</t>
        </r>
        <r>
          <rPr>
            <sz val="9"/>
            <color indexed="81"/>
            <rFont val="Tahoma"/>
            <family val="2"/>
          </rPr>
          <t xml:space="preserve">
Annual cost is £4,266, averaged £4,500</t>
        </r>
      </text>
    </comment>
    <comment ref="A6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Godfrey:</t>
        </r>
        <r>
          <rPr>
            <sz val="9"/>
            <color indexed="81"/>
            <rFont val="Tahoma"/>
            <family val="2"/>
          </rPr>
          <t xml:space="preserve">
includes Chair's phone &amp; letter postage</t>
        </r>
      </text>
    </comment>
  </commentList>
</comments>
</file>

<file path=xl/sharedStrings.xml><?xml version="1.0" encoding="utf-8"?>
<sst xmlns="http://schemas.openxmlformats.org/spreadsheetml/2006/main" count="487" uniqueCount="322">
  <si>
    <t>BATTERSEA FIELDS RMO</t>
  </si>
  <si>
    <t>Budget</t>
  </si>
  <si>
    <t>INCOME</t>
  </si>
  <si>
    <t>2018-19 (£)</t>
  </si>
  <si>
    <t>2019-20 (£)</t>
  </si>
  <si>
    <t>Mgt &amp; Maintenance Allowance</t>
  </si>
  <si>
    <t>Interest (Rent balances with WBC)</t>
  </si>
  <si>
    <t>Other Income</t>
  </si>
  <si>
    <t>Cohesion &amp; Grant Income</t>
  </si>
  <si>
    <t>TOTAL INCOME</t>
  </si>
  <si>
    <t>EXPENDITURE</t>
  </si>
  <si>
    <t>1) - Administration Expenses</t>
  </si>
  <si>
    <t>a) General Admin</t>
  </si>
  <si>
    <t>2101 - Office Security</t>
  </si>
  <si>
    <t>2102 - Software (Backup &amp; Support)-microsolv</t>
  </si>
  <si>
    <t>2103 - Stationery, Postage &amp; printing</t>
  </si>
  <si>
    <t>2104 - Telephone &amp; Fax</t>
  </si>
  <si>
    <t>2105 - Office Cleaning</t>
  </si>
  <si>
    <t>2106 - Tenant Rent/Cash Collection</t>
  </si>
  <si>
    <t xml:space="preserve">2107 - Office Rent </t>
  </si>
  <si>
    <t>2108 - Equipment hire</t>
  </si>
  <si>
    <t>2109 - Business Rates</t>
  </si>
  <si>
    <t>2110 - Misc Admin Costs</t>
  </si>
  <si>
    <t>2111 - Lighting &amp; Heating</t>
  </si>
  <si>
    <t>2112 - Office Repairs</t>
  </si>
  <si>
    <t>2113 - Interpretation &amp; Similar Services</t>
  </si>
  <si>
    <t>2114 - Business Insurance</t>
  </si>
  <si>
    <t>2116 - Other Office Costs</t>
  </si>
  <si>
    <t>2117 - Bank Charges</t>
  </si>
  <si>
    <t>2118 - Membership &amp; Subscriptions</t>
  </si>
  <si>
    <t>2119 - Professional fees</t>
  </si>
  <si>
    <t xml:space="preserve">  Audit</t>
  </si>
  <si>
    <t xml:space="preserve">  Accountancy</t>
  </si>
  <si>
    <t xml:space="preserve">  Payroll</t>
  </si>
  <si>
    <t xml:space="preserve">  Legal/Tribunal Costs</t>
  </si>
  <si>
    <t xml:space="preserve">  HR</t>
  </si>
  <si>
    <t xml:space="preserve">  Advertising and PR</t>
  </si>
  <si>
    <t xml:space="preserve">  Consulting</t>
  </si>
  <si>
    <t>Sub Total</t>
  </si>
  <si>
    <t>2) - Staff Costs:</t>
  </si>
  <si>
    <t>Gross Salaries</t>
  </si>
  <si>
    <t>Employer NIC</t>
  </si>
  <si>
    <t>Employer Pension</t>
  </si>
  <si>
    <t>Past Service Pension Defecit</t>
  </si>
  <si>
    <t>Staff Training</t>
  </si>
  <si>
    <t>Subsistance &amp; Travel</t>
  </si>
  <si>
    <t>3) - Committee Admin</t>
  </si>
  <si>
    <t>Minute Taker</t>
  </si>
  <si>
    <t>Subsistance</t>
  </si>
  <si>
    <t>Communication</t>
  </si>
  <si>
    <t>Child Care/Baby sitting</t>
  </si>
  <si>
    <t>Board Training</t>
  </si>
  <si>
    <t>Board Travel and Subsistance</t>
  </si>
  <si>
    <t>4) - Tenant Repairs</t>
  </si>
  <si>
    <t>Void Repairs</t>
  </si>
  <si>
    <t>Tenant Repairs</t>
  </si>
  <si>
    <t>Pest Control</t>
  </si>
  <si>
    <t>Lock Repairs</t>
  </si>
  <si>
    <t>Internal Lighting &amp; Electrics</t>
  </si>
  <si>
    <t>Rechargeable Repairs</t>
  </si>
  <si>
    <t>Other Tenant Repair Costs</t>
  </si>
  <si>
    <t>5) - Block Repairs</t>
  </si>
  <si>
    <t>Block repairs</t>
  </si>
  <si>
    <t>Entry phone repairs</t>
  </si>
  <si>
    <t>Lighting &amp; Electricss</t>
  </si>
  <si>
    <t>Miscelleneous Block costs</t>
  </si>
  <si>
    <t>6) - Estate Costs</t>
  </si>
  <si>
    <t>Estate Cleaning</t>
  </si>
  <si>
    <t>Window Cleaning</t>
  </si>
  <si>
    <t>Paladins</t>
  </si>
  <si>
    <t>Emmergency Response</t>
  </si>
  <si>
    <t>Misc Estate Repairs</t>
  </si>
  <si>
    <t xml:space="preserve">  Letter Delivery</t>
  </si>
  <si>
    <t xml:space="preserve">  Rubbish Tipping</t>
  </si>
  <si>
    <t xml:space="preserve">  Other Est Costs</t>
  </si>
  <si>
    <t>TOTAL EXPENDITURE</t>
  </si>
  <si>
    <t>RESERVES(DEFICIT) FOR YEAR</t>
  </si>
  <si>
    <t>Total Income</t>
  </si>
  <si>
    <t>Total Expenditure</t>
  </si>
  <si>
    <t>Surplus ( Deficit)</t>
  </si>
  <si>
    <t xml:space="preserve">Budget </t>
  </si>
  <si>
    <t>Pro rata</t>
  </si>
  <si>
    <t>Actual</t>
  </si>
  <si>
    <t>To Date</t>
  </si>
  <si>
    <t>DATE</t>
  </si>
  <si>
    <t xml:space="preserve">            Toshiba (copier-usgage)</t>
  </si>
  <si>
    <t xml:space="preserve">           Shire Leasing Telephone System</t>
  </si>
  <si>
    <t xml:space="preserve">           Pitney Bowes (Franking Machine)</t>
  </si>
  <si>
    <t xml:space="preserve">           BNP Paribas (copier)</t>
  </si>
  <si>
    <t>Recruitment</t>
  </si>
  <si>
    <t>Pro Rata</t>
  </si>
  <si>
    <t>Variences</t>
  </si>
  <si>
    <r>
      <t xml:space="preserve">BUDGET </t>
    </r>
    <r>
      <rPr>
        <sz val="14"/>
        <rFont val="Arial"/>
        <family val="2"/>
      </rPr>
      <t xml:space="preserve">- 2019/20   </t>
    </r>
  </si>
  <si>
    <t>Estimated figures based on 2013-14</t>
  </si>
  <si>
    <t>April -June NI Not Posted to be investigated</t>
  </si>
  <si>
    <t>Rechargeable Income</t>
  </si>
  <si>
    <t>Compare with Rechargeable Expenses</t>
  </si>
  <si>
    <t>18/19 Accrued Rent + Prepayment of Feb 20 added</t>
  </si>
  <si>
    <t>Bad Debt Expenses (wrritten Off)</t>
  </si>
  <si>
    <t>Corporation Tax Previous Paid</t>
  </si>
  <si>
    <t>Accrured Corporation Tax</t>
  </si>
  <si>
    <t>Rechargeable Repairs WBC</t>
  </si>
  <si>
    <t>Rechargeable Income WBC</t>
  </si>
  <si>
    <t>Cohesion Expenses</t>
  </si>
  <si>
    <t>Insurance Cost &amp; Claims</t>
  </si>
  <si>
    <t>Void Repair Reimbursed by WBC</t>
  </si>
  <si>
    <t>Includes £2000 for new accountants</t>
  </si>
  <si>
    <t>Compare with Rechargeable Income</t>
  </si>
  <si>
    <t>IMPORTANT NOTE</t>
  </si>
  <si>
    <t>UNDER SPENT FROM BUDGET</t>
  </si>
  <si>
    <t>Bank Interest</t>
  </si>
  <si>
    <t>April- 10/09/2022</t>
  </si>
  <si>
    <t>Management allowance</t>
  </si>
  <si>
    <t>Repairs allowance</t>
  </si>
  <si>
    <t>Administration</t>
  </si>
  <si>
    <t>Client cost allowance</t>
  </si>
  <si>
    <t>Void allowance</t>
  </si>
  <si>
    <t>ROOF &amp; BALCONY REPAIRS</t>
  </si>
  <si>
    <t>Entryphone keys (KABA)</t>
  </si>
  <si>
    <t>Entryphone repair Electronic</t>
  </si>
  <si>
    <t>Entryphone repairs Mechanical</t>
  </si>
  <si>
    <t>Emergency patrol contract</t>
  </si>
  <si>
    <t>Block cleaning materials</t>
  </si>
  <si>
    <t>Garden maintenance</t>
  </si>
  <si>
    <t>Paladin bin rental</t>
  </si>
  <si>
    <t>Ball park repairs</t>
  </si>
  <si>
    <t>Bulk rubbish collection</t>
  </si>
  <si>
    <t>CCTV Maintenance</t>
  </si>
  <si>
    <t>Communal electricity</t>
  </si>
  <si>
    <t>Drain clearance</t>
  </si>
  <si>
    <t>Pest control</t>
  </si>
  <si>
    <t>Estate lighting materials</t>
  </si>
  <si>
    <t>Estate lighting labour</t>
  </si>
  <si>
    <t>RECHARGEABLE (COMMON) REPAIRS</t>
  </si>
  <si>
    <t>Gross staff salary - office (EM, FO &amp; A Gross Salaries)</t>
  </si>
  <si>
    <t>Staff national insurance - office</t>
  </si>
  <si>
    <t>Pension contribution - office staff (EM, FO &amp; A)</t>
  </si>
  <si>
    <t xml:space="preserve">Staff recruitment </t>
  </si>
  <si>
    <t>Staff subs and travel</t>
  </si>
  <si>
    <t>Staff training</t>
  </si>
  <si>
    <t>3) Management &amp; Service Costs</t>
  </si>
  <si>
    <t>Office rent</t>
  </si>
  <si>
    <t>Office water rates</t>
  </si>
  <si>
    <t>Office rates</t>
  </si>
  <si>
    <t>Office &amp; Estate Cleaning Material</t>
  </si>
  <si>
    <t>Insurance policies</t>
  </si>
  <si>
    <t>Telephone &amp; internet</t>
  </si>
  <si>
    <t>Domain name, hosting, Office 365</t>
  </si>
  <si>
    <t>IT support, backup and security</t>
  </si>
  <si>
    <t>Printing, Postage &amp; stationery</t>
  </si>
  <si>
    <t>Subscription fees</t>
  </si>
  <si>
    <t>Office electricity</t>
  </si>
  <si>
    <t>Office equipment</t>
  </si>
  <si>
    <t>Document distribution</t>
  </si>
  <si>
    <t>Photocopier expenses (toner)</t>
  </si>
  <si>
    <t>Sundries</t>
  </si>
  <si>
    <t>Community events</t>
  </si>
  <si>
    <t>Depreciations</t>
  </si>
  <si>
    <t>Tax expenses</t>
  </si>
  <si>
    <t>Bank Charges</t>
  </si>
  <si>
    <t>Audit fees</t>
  </si>
  <si>
    <t>Committee training</t>
  </si>
  <si>
    <t>HR Services</t>
  </si>
  <si>
    <t>Sage Program Support</t>
  </si>
  <si>
    <t>Corporation tax</t>
  </si>
  <si>
    <t>Tenant repairs - labour</t>
  </si>
  <si>
    <t>Tenant repairs - materials</t>
  </si>
  <si>
    <t xml:space="preserve">Void property </t>
  </si>
  <si>
    <t>Tenant's rent bad debt</t>
  </si>
  <si>
    <t>RECHARGED (WBC) INCOME</t>
  </si>
  <si>
    <t>4060 / 5</t>
  </si>
  <si>
    <t>GOULDEN HOUSE CO-OP LTD</t>
  </si>
  <si>
    <t>N/C</t>
  </si>
  <si>
    <t>Total Staff Cost</t>
  </si>
  <si>
    <t>Total Block Repairs &amp; Maintenance Cost</t>
  </si>
  <si>
    <t>Total Management &amp; Service Costs</t>
  </si>
  <si>
    <t>Tenant (Only Repairs)</t>
  </si>
  <si>
    <t>Service Charge Allowances</t>
  </si>
  <si>
    <t>RECHARGEABLE (TENANT) Repair Received</t>
  </si>
  <si>
    <t>RECHARGEABLE (TENANT) Repair Not Recharged</t>
  </si>
  <si>
    <t>2024-25</t>
  </si>
  <si>
    <t>Office Staff</t>
  </si>
  <si>
    <t>S/N</t>
  </si>
  <si>
    <t>Name</t>
  </si>
  <si>
    <t>Annie Gleeson</t>
  </si>
  <si>
    <t>Margrete Earl</t>
  </si>
  <si>
    <t>Monthly</t>
  </si>
  <si>
    <t>Annual</t>
  </si>
  <si>
    <t>Holiday</t>
  </si>
  <si>
    <t>Cover</t>
  </si>
  <si>
    <t>Total</t>
  </si>
  <si>
    <t>Emloyer's NI</t>
  </si>
  <si>
    <t>Employer's Pension</t>
  </si>
  <si>
    <t>Less EA</t>
  </si>
  <si>
    <t>NI Paylabe</t>
  </si>
  <si>
    <t>Date</t>
  </si>
  <si>
    <t>Ref.</t>
  </si>
  <si>
    <t>Ex.Ref.</t>
  </si>
  <si>
    <t>Dept</t>
  </si>
  <si>
    <t>Project</t>
  </si>
  <si>
    <t>Details</t>
  </si>
  <si>
    <t>Amount</t>
  </si>
  <si>
    <t>P2</t>
  </si>
  <si>
    <t/>
  </si>
  <si>
    <t>Contigencies</t>
  </si>
  <si>
    <t>Tenant plan repair labour</t>
  </si>
  <si>
    <t>Suggestions</t>
  </si>
  <si>
    <t>Estate cleaning (Cleaning Staff)</t>
  </si>
  <si>
    <t>M &amp; M Allowance</t>
  </si>
  <si>
    <t>Estate Cleaning staff</t>
  </si>
  <si>
    <t xml:space="preserve">Rechargeable Expenses - Claimed </t>
  </si>
  <si>
    <t>Estimate Full Year</t>
  </si>
  <si>
    <t>Goulden House - Management Account Summary</t>
  </si>
  <si>
    <t>Variances</t>
  </si>
  <si>
    <t>INCOME Leaseholders</t>
  </si>
  <si>
    <t>INCOME Tenants</t>
  </si>
  <si>
    <t>Total Expenses LH &amp; Tenants</t>
  </si>
  <si>
    <t>Surplus / (Deficit)</t>
  </si>
  <si>
    <t>Income &amp; Expenditure - Lease Holder Only</t>
  </si>
  <si>
    <t>Total Block Repairs &amp; Maintenance Cost - 100%</t>
  </si>
  <si>
    <t>Total Staff Cost - 79%</t>
  </si>
  <si>
    <t>Total Management &amp; Service Costs - 100%</t>
  </si>
  <si>
    <r>
      <rPr>
        <b/>
        <sz val="12"/>
        <color rgb="FFFF0000"/>
        <rFont val="Calibri"/>
        <family val="2"/>
        <scheme val="minor"/>
      </rPr>
      <t>Less -</t>
    </r>
    <r>
      <rPr>
        <sz val="10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Shared Cost - 15.689%</t>
    </r>
  </si>
  <si>
    <t>TOTAL LEASE HOLDER SERVICE CHAREABLE EXP</t>
  </si>
  <si>
    <r>
      <t xml:space="preserve">Surplus </t>
    </r>
    <r>
      <rPr>
        <b/>
        <sz val="11"/>
        <color rgb="FFFF0000"/>
        <rFont val="Calibri"/>
        <family val="2"/>
        <scheme val="minor"/>
      </rPr>
      <t>(Deficit)</t>
    </r>
  </si>
  <si>
    <t>Income &amp; Expenditur - Tenants Only</t>
  </si>
  <si>
    <t>Total Staff Cost - 21%</t>
  </si>
  <si>
    <t>Add - Shared Cost - 15.689%</t>
  </si>
  <si>
    <t>TOTAL TENANTS ONLY EXPENSES</t>
  </si>
  <si>
    <r>
      <t xml:space="preserve">OVER ALL TOTAL SURPLUS OR </t>
    </r>
    <r>
      <rPr>
        <b/>
        <sz val="11"/>
        <color rgb="FFFF0000"/>
        <rFont val="Calibri"/>
        <family val="2"/>
        <scheme val="minor"/>
      </rPr>
      <t>(DEFICIT)</t>
    </r>
  </si>
  <si>
    <t>Add Other Income, Interest Etc</t>
  </si>
  <si>
    <t>Should be Zero to decimal</t>
  </si>
  <si>
    <t>2024-25 (£)</t>
  </si>
  <si>
    <t xml:space="preserve"> +%</t>
  </si>
  <si>
    <t>No. Props</t>
  </si>
  <si>
    <t>Non Res</t>
  </si>
  <si>
    <t>Housing Contract:</t>
  </si>
  <si>
    <t>WJ</t>
  </si>
  <si>
    <t>Tenants</t>
  </si>
  <si>
    <t>Leaseholders</t>
  </si>
  <si>
    <t>Summary of Allowances</t>
  </si>
  <si>
    <t>£</t>
  </si>
  <si>
    <t>Management</t>
  </si>
  <si>
    <t>Estate Costs</t>
  </si>
  <si>
    <t>Committee Administration</t>
  </si>
  <si>
    <t>Client Costs</t>
  </si>
  <si>
    <t>Management Allowance</t>
  </si>
  <si>
    <t>Total/Unit</t>
  </si>
  <si>
    <t>No.</t>
  </si>
  <si>
    <t>Contract WJ</t>
  </si>
  <si>
    <t>(1)</t>
  </si>
  <si>
    <t>Tenant</t>
  </si>
  <si>
    <t>Leaseholder</t>
  </si>
  <si>
    <t>Resident</t>
  </si>
  <si>
    <t>Emergency Response</t>
  </si>
  <si>
    <t>Minor Works</t>
  </si>
  <si>
    <t>Non-Resident</t>
  </si>
  <si>
    <t>Estate/Block Costs</t>
  </si>
  <si>
    <t>(2)</t>
  </si>
  <si>
    <t>Garden Maintenance</t>
  </si>
  <si>
    <t>Cleaning</t>
  </si>
  <si>
    <t>(3)</t>
  </si>
  <si>
    <t>Lighting/Electricity</t>
  </si>
  <si>
    <t>(4)</t>
  </si>
  <si>
    <t>(5)</t>
  </si>
  <si>
    <t>Repairs (all residents)</t>
  </si>
  <si>
    <t>(6)</t>
  </si>
  <si>
    <t>Repairs (tenant only)</t>
  </si>
  <si>
    <t>LH Minor Insurance</t>
  </si>
  <si>
    <t>Tenant Minor Insurance</t>
  </si>
  <si>
    <t>Vacants</t>
  </si>
  <si>
    <t>(7)</t>
  </si>
  <si>
    <t>EntryCall</t>
  </si>
  <si>
    <t>Dry Risers</t>
  </si>
  <si>
    <t>(8)</t>
  </si>
  <si>
    <t>Lump Sum</t>
  </si>
  <si>
    <t>Per Unit</t>
  </si>
  <si>
    <t>No.Units</t>
  </si>
  <si>
    <t>(9)</t>
  </si>
  <si>
    <t>WBC-retained functions not included in allowance calculation if applicable:</t>
  </si>
  <si>
    <t>Lift Maintenance</t>
  </si>
  <si>
    <t>Water Sampling</t>
  </si>
  <si>
    <t>Extractor Fans</t>
  </si>
  <si>
    <t>Lightning Conductors</t>
  </si>
  <si>
    <t>Heating contract/Gas</t>
  </si>
  <si>
    <t>% Increase</t>
  </si>
  <si>
    <t>Council contract uplift rate</t>
  </si>
  <si>
    <t xml:space="preserve">NB. THIS IS A DRAFT ESTIMATE AND NOT A FINAL OFFER </t>
  </si>
  <si>
    <t>TMO/CO-OP Allowance Calculation</t>
  </si>
  <si>
    <t>Insurance</t>
  </si>
  <si>
    <t>Check</t>
  </si>
  <si>
    <t>Variance</t>
  </si>
  <si>
    <t>CHECK</t>
  </si>
  <si>
    <t>Total agreed</t>
  </si>
  <si>
    <t>LH @ 77%</t>
  </si>
  <si>
    <t>TENANTS @ 23%</t>
  </si>
  <si>
    <t>Goulden House 2025-26</t>
  </si>
  <si>
    <t>2025-26</t>
  </si>
  <si>
    <t>2025-26 (£)</t>
  </si>
  <si>
    <t>PROPOSED BUDGET 2025-26</t>
  </si>
  <si>
    <t>Proposed Budget</t>
  </si>
  <si>
    <t>Finance/Accounts</t>
  </si>
  <si>
    <t>April to November</t>
  </si>
  <si>
    <t>Aprox 2024-25</t>
  </si>
  <si>
    <t>Estate Cleaning for the month of April 2024</t>
  </si>
  <si>
    <t>Estate Cleaning for the month of May 2024</t>
  </si>
  <si>
    <t>Estate Cleaning for the month of June 2024</t>
  </si>
  <si>
    <t>Estate Cleaning for the month of July 2024</t>
  </si>
  <si>
    <t>Estate Cleaning for the month of September 2024</t>
  </si>
  <si>
    <t>Estate Cleaning for the month of November 2024</t>
  </si>
  <si>
    <t>Estate Cleaning for the month of October 2024</t>
  </si>
  <si>
    <t>Estate Cleaning for the month of August 2024</t>
  </si>
  <si>
    <t>Sofian</t>
  </si>
  <si>
    <t>Mahrez</t>
  </si>
  <si>
    <t>Finance/ Accounts currently under review by the GHM. Actual costings to be determined for inclusion in the proposed budget.</t>
  </si>
  <si>
    <t>Inflation Rates Applicable 2025/26</t>
  </si>
  <si>
    <t>CONVERTED TO 77% LH Vs 23% TENANTS - 2025</t>
  </si>
  <si>
    <t>Block repairs - Materials and labour</t>
  </si>
  <si>
    <t>Accountancy/ Financial administration</t>
  </si>
  <si>
    <t>Based Jan 25</t>
  </si>
  <si>
    <t>Increase in Employment allowance from £5000 to £10,500 2025-26</t>
  </si>
  <si>
    <t>Staff cover - office/annual leave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</si>
</sst>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&quot;£&quot;#,##0"/>
    <numFmt numFmtId="167" formatCode="&quot;£&quot;#,##0.00"/>
    <numFmt numFmtId="168" formatCode="?"/>
    <numFmt numFmtId="169" formatCode="_-* #,##0.0000_-;\-* #,##0.0000_-;_-* &quot;-&quot;??_-;_-@_-"/>
    <numFmt numFmtId="170" formatCode="#,##0.0000"/>
    <numFmt numFmtId="171" formatCode="_-* #,##0.000_-;\-* #,##0.000_-;_-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u/>
      <sz val="10"/>
      <color indexed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theme="1"/>
      <name val="Aptos"/>
      <family val="2"/>
    </font>
  </fonts>
  <fills count="2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42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3" fillId="2" borderId="2" xfId="0" applyFont="1" applyFill="1" applyBorder="1"/>
    <xf numFmtId="0" fontId="7" fillId="3" borderId="1" xfId="0" applyFont="1" applyFill="1" applyBorder="1"/>
    <xf numFmtId="0" fontId="8" fillId="0" borderId="0" xfId="0" applyFont="1"/>
    <xf numFmtId="0" fontId="4" fillId="0" borderId="1" xfId="0" applyFont="1" applyBorder="1"/>
    <xf numFmtId="0" fontId="9" fillId="0" borderId="1" xfId="0" applyFont="1" applyBorder="1"/>
    <xf numFmtId="0" fontId="0" fillId="0" borderId="3" xfId="0" applyBorder="1"/>
    <xf numFmtId="0" fontId="0" fillId="0" borderId="1" xfId="0" applyBorder="1"/>
    <xf numFmtId="0" fontId="3" fillId="4" borderId="2" xfId="0" applyFont="1" applyFill="1" applyBorder="1"/>
    <xf numFmtId="3" fontId="3" fillId="0" borderId="0" xfId="0" applyNumberFormat="1" applyFont="1"/>
    <xf numFmtId="0" fontId="8" fillId="0" borderId="1" xfId="0" applyFont="1" applyBorder="1"/>
    <xf numFmtId="3" fontId="3" fillId="0" borderId="4" xfId="0" applyNumberFormat="1" applyFont="1" applyBorder="1"/>
    <xf numFmtId="0" fontId="10" fillId="0" borderId="0" xfId="0" applyFont="1"/>
    <xf numFmtId="3" fontId="10" fillId="0" borderId="4" xfId="0" applyNumberFormat="1" applyFont="1" applyBorder="1"/>
    <xf numFmtId="0" fontId="4" fillId="0" borderId="5" xfId="0" applyFont="1" applyBorder="1"/>
    <xf numFmtId="0" fontId="4" fillId="0" borderId="4" xfId="0" applyFont="1" applyBorder="1"/>
    <xf numFmtId="0" fontId="3" fillId="3" borderId="6" xfId="0" applyFont="1" applyFill="1" applyBorder="1"/>
    <xf numFmtId="3" fontId="3" fillId="3" borderId="7" xfId="0" applyNumberFormat="1" applyFont="1" applyFill="1" applyBorder="1"/>
    <xf numFmtId="0" fontId="7" fillId="2" borderId="8" xfId="0" applyFont="1" applyFill="1" applyBorder="1"/>
    <xf numFmtId="0" fontId="3" fillId="0" borderId="9" xfId="0" applyFont="1" applyBorder="1"/>
    <xf numFmtId="0" fontId="6" fillId="0" borderId="10" xfId="0" applyFont="1" applyBorder="1"/>
    <xf numFmtId="0" fontId="3" fillId="3" borderId="12" xfId="0" applyFont="1" applyFill="1" applyBorder="1"/>
    <xf numFmtId="14" fontId="2" fillId="0" borderId="0" xfId="0" applyNumberFormat="1" applyFont="1"/>
    <xf numFmtId="0" fontId="5" fillId="0" borderId="0" xfId="0" applyFont="1"/>
    <xf numFmtId="0" fontId="13" fillId="0" borderId="0" xfId="0" applyFont="1"/>
    <xf numFmtId="164" fontId="4" fillId="0" borderId="0" xfId="1" applyNumberFormat="1" applyFont="1"/>
    <xf numFmtId="0" fontId="9" fillId="0" borderId="0" xfId="0" applyFont="1"/>
    <xf numFmtId="0" fontId="13" fillId="0" borderId="1" xfId="0" applyFont="1" applyBorder="1"/>
    <xf numFmtId="38" fontId="4" fillId="0" borderId="0" xfId="0" applyNumberFormat="1" applyFont="1"/>
    <xf numFmtId="38" fontId="4" fillId="0" borderId="0" xfId="1" applyNumberFormat="1" applyFont="1"/>
    <xf numFmtId="38" fontId="3" fillId="4" borderId="2" xfId="0" applyNumberFormat="1" applyFont="1" applyFill="1" applyBorder="1"/>
    <xf numFmtId="38" fontId="0" fillId="0" borderId="0" xfId="0" applyNumberFormat="1"/>
    <xf numFmtId="38" fontId="4" fillId="0" borderId="11" xfId="0" applyNumberFormat="1" applyFont="1" applyBorder="1"/>
    <xf numFmtId="38" fontId="3" fillId="3" borderId="13" xfId="0" applyNumberFormat="1" applyFont="1" applyFill="1" applyBorder="1"/>
    <xf numFmtId="0" fontId="0" fillId="5" borderId="14" xfId="0" applyFill="1" applyBorder="1"/>
    <xf numFmtId="0" fontId="2" fillId="5" borderId="14" xfId="0" applyFont="1" applyFill="1" applyBorder="1"/>
    <xf numFmtId="0" fontId="14" fillId="0" borderId="0" xfId="0" applyFont="1"/>
    <xf numFmtId="0" fontId="4" fillId="5" borderId="14" xfId="0" applyFont="1" applyFill="1" applyBorder="1"/>
    <xf numFmtId="164" fontId="3" fillId="2" borderId="2" xfId="1" applyNumberFormat="1" applyFont="1" applyFill="1" applyBorder="1"/>
    <xf numFmtId="164" fontId="3" fillId="4" borderId="2" xfId="1" applyNumberFormat="1" applyFont="1" applyFill="1" applyBorder="1"/>
    <xf numFmtId="165" fontId="4" fillId="0" borderId="0" xfId="1" applyNumberFormat="1" applyFont="1"/>
    <xf numFmtId="165" fontId="4" fillId="0" borderId="0" xfId="1" applyNumberFormat="1" applyFont="1" applyAlignment="1"/>
    <xf numFmtId="0" fontId="6" fillId="6" borderId="0" xfId="0" applyFont="1" applyFill="1"/>
    <xf numFmtId="38" fontId="4" fillId="6" borderId="0" xfId="0" applyNumberFormat="1" applyFont="1" applyFill="1"/>
    <xf numFmtId="38" fontId="4" fillId="6" borderId="0" xfId="1" applyNumberFormat="1" applyFont="1" applyFill="1"/>
    <xf numFmtId="165" fontId="4" fillId="6" borderId="0" xfId="1" applyNumberFormat="1" applyFont="1" applyFill="1"/>
    <xf numFmtId="164" fontId="4" fillId="0" borderId="0" xfId="0" applyNumberFormat="1" applyFont="1"/>
    <xf numFmtId="38" fontId="4" fillId="7" borderId="0" xfId="1" applyNumberFormat="1" applyFont="1" applyFill="1"/>
    <xf numFmtId="0" fontId="2" fillId="0" borderId="0" xfId="0" applyFont="1" applyAlignment="1">
      <alignment horizontal="center"/>
    </xf>
    <xf numFmtId="165" fontId="6" fillId="0" borderId="0" xfId="1" applyNumberFormat="1" applyFont="1" applyFill="1" applyAlignment="1"/>
    <xf numFmtId="165" fontId="6" fillId="0" borderId="0" xfId="1" applyNumberFormat="1" applyFont="1" applyFill="1" applyAlignment="1">
      <alignment wrapText="1"/>
    </xf>
    <xf numFmtId="38" fontId="6" fillId="0" borderId="0" xfId="1" applyNumberFormat="1" applyFont="1" applyFill="1"/>
    <xf numFmtId="38" fontId="6" fillId="6" borderId="0" xfId="1" applyNumberFormat="1" applyFont="1" applyFill="1"/>
    <xf numFmtId="38" fontId="6" fillId="0" borderId="0" xfId="1" applyNumberFormat="1" applyFont="1"/>
    <xf numFmtId="38" fontId="17" fillId="0" borderId="0" xfId="0" applyNumberFormat="1" applyFont="1"/>
    <xf numFmtId="0" fontId="5" fillId="6" borderId="6" xfId="0" applyFont="1" applyFill="1" applyBorder="1"/>
    <xf numFmtId="0" fontId="5" fillId="6" borderId="15" xfId="0" applyFont="1" applyFill="1" applyBorder="1"/>
    <xf numFmtId="43" fontId="5" fillId="6" borderId="7" xfId="0" applyNumberFormat="1" applyFont="1" applyFill="1" applyBorder="1"/>
    <xf numFmtId="164" fontId="3" fillId="0" borderId="0" xfId="1" applyNumberFormat="1" applyFont="1" applyBorder="1"/>
    <xf numFmtId="40" fontId="13" fillId="0" borderId="0" xfId="1" applyNumberFormat="1" applyFont="1"/>
    <xf numFmtId="0" fontId="6" fillId="0" borderId="20" xfId="0" applyFont="1" applyBorder="1"/>
    <xf numFmtId="0" fontId="6" fillId="0" borderId="22" xfId="0" applyFont="1" applyBorder="1"/>
    <xf numFmtId="0" fontId="2" fillId="0" borderId="0" xfId="0" applyFont="1"/>
    <xf numFmtId="43" fontId="0" fillId="0" borderId="0" xfId="0" applyNumberFormat="1"/>
    <xf numFmtId="17" fontId="4" fillId="0" borderId="0" xfId="1" applyNumberFormat="1" applyFont="1"/>
    <xf numFmtId="165" fontId="4" fillId="0" borderId="14" xfId="1" applyNumberFormat="1" applyFont="1" applyBorder="1"/>
    <xf numFmtId="165" fontId="16" fillId="0" borderId="21" xfId="1" applyNumberFormat="1" applyFont="1" applyBorder="1"/>
    <xf numFmtId="165" fontId="6" fillId="0" borderId="0" xfId="1" applyNumberFormat="1" applyFont="1"/>
    <xf numFmtId="164" fontId="4" fillId="0" borderId="0" xfId="1" applyNumberFormat="1" applyFont="1" applyFill="1"/>
    <xf numFmtId="164" fontId="6" fillId="0" borderId="0" xfId="1" applyNumberFormat="1" applyFont="1"/>
    <xf numFmtId="43" fontId="19" fillId="0" borderId="1" xfId="0" applyNumberFormat="1" applyFont="1" applyBorder="1"/>
    <xf numFmtId="0" fontId="19" fillId="0" borderId="1" xfId="0" applyFont="1" applyBorder="1"/>
    <xf numFmtId="164" fontId="16" fillId="0" borderId="1" xfId="1" applyNumberFormat="1" applyFont="1" applyBorder="1" applyAlignment="1">
      <alignment horizontal="right"/>
    </xf>
    <xf numFmtId="164" fontId="0" fillId="0" borderId="0" xfId="1" applyNumberFormat="1" applyFont="1"/>
    <xf numFmtId="1" fontId="4" fillId="0" borderId="0" xfId="3" applyNumberFormat="1" applyFont="1" applyAlignment="1">
      <alignment horizontal="center"/>
    </xf>
    <xf numFmtId="166" fontId="4" fillId="0" borderId="0" xfId="3" applyNumberFormat="1" applyFont="1"/>
    <xf numFmtId="1" fontId="4" fillId="0" borderId="0" xfId="4" applyNumberFormat="1" applyFont="1" applyAlignment="1">
      <alignment horizontal="center"/>
    </xf>
    <xf numFmtId="167" fontId="4" fillId="0" borderId="0" xfId="4" applyNumberFormat="1" applyFont="1" applyAlignment="1">
      <alignment horizontal="left"/>
    </xf>
    <xf numFmtId="164" fontId="4" fillId="0" borderId="0" xfId="1" applyNumberFormat="1" applyFont="1" applyBorder="1" applyAlignment="1">
      <alignment horizontal="center"/>
    </xf>
    <xf numFmtId="165" fontId="6" fillId="0" borderId="0" xfId="1" applyNumberFormat="1" applyFont="1" applyFill="1"/>
    <xf numFmtId="1" fontId="7" fillId="8" borderId="0" xfId="3" applyNumberFormat="1" applyFont="1" applyFill="1" applyAlignment="1">
      <alignment horizontal="center"/>
    </xf>
    <xf numFmtId="166" fontId="7" fillId="8" borderId="0" xfId="3" applyNumberFormat="1" applyFont="1" applyFill="1"/>
    <xf numFmtId="40" fontId="13" fillId="0" borderId="0" xfId="1" applyNumberFormat="1" applyFont="1" applyBorder="1"/>
    <xf numFmtId="43" fontId="0" fillId="0" borderId="0" xfId="1" applyFont="1"/>
    <xf numFmtId="0" fontId="0" fillId="9" borderId="23" xfId="0" applyFill="1" applyBorder="1"/>
    <xf numFmtId="0" fontId="7" fillId="9" borderId="16" xfId="0" applyFont="1" applyFill="1" applyBorder="1"/>
    <xf numFmtId="164" fontId="3" fillId="9" borderId="17" xfId="1" applyNumberFormat="1" applyFont="1" applyFill="1" applyBorder="1"/>
    <xf numFmtId="0" fontId="2" fillId="9" borderId="17" xfId="0" applyFont="1" applyFill="1" applyBorder="1"/>
    <xf numFmtId="0" fontId="2" fillId="9" borderId="9" xfId="0" applyFont="1" applyFill="1" applyBorder="1"/>
    <xf numFmtId="0" fontId="0" fillId="9" borderId="25" xfId="0" applyFill="1" applyBorder="1"/>
    <xf numFmtId="0" fontId="0" fillId="9" borderId="24" xfId="0" applyFill="1" applyBorder="1"/>
    <xf numFmtId="0" fontId="3" fillId="9" borderId="18" xfId="0" applyFont="1" applyFill="1" applyBorder="1"/>
    <xf numFmtId="165" fontId="3" fillId="9" borderId="19" xfId="1" applyNumberFormat="1" applyFont="1" applyFill="1" applyBorder="1"/>
    <xf numFmtId="0" fontId="0" fillId="9" borderId="16" xfId="0" applyFill="1" applyBorder="1"/>
    <xf numFmtId="0" fontId="0" fillId="10" borderId="6" xfId="0" applyFill="1" applyBorder="1"/>
    <xf numFmtId="0" fontId="3" fillId="10" borderId="15" xfId="0" applyFont="1" applyFill="1" applyBorder="1"/>
    <xf numFmtId="165" fontId="3" fillId="10" borderId="15" xfId="1" applyNumberFormat="1" applyFont="1" applyFill="1" applyBorder="1"/>
    <xf numFmtId="0" fontId="7" fillId="10" borderId="15" xfId="0" applyFont="1" applyFill="1" applyBorder="1"/>
    <xf numFmtId="0" fontId="5" fillId="10" borderId="15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64" fontId="3" fillId="10" borderId="15" xfId="1" applyNumberFormat="1" applyFont="1" applyFill="1" applyBorder="1"/>
    <xf numFmtId="0" fontId="2" fillId="10" borderId="6" xfId="0" applyFont="1" applyFill="1" applyBorder="1"/>
    <xf numFmtId="0" fontId="9" fillId="10" borderId="15" xfId="0" applyFont="1" applyFill="1" applyBorder="1"/>
    <xf numFmtId="0" fontId="7" fillId="10" borderId="7" xfId="0" applyFont="1" applyFill="1" applyBorder="1"/>
    <xf numFmtId="0" fontId="0" fillId="11" borderId="6" xfId="0" applyFill="1" applyBorder="1"/>
    <xf numFmtId="0" fontId="3" fillId="11" borderId="15" xfId="0" applyFont="1" applyFill="1" applyBorder="1"/>
    <xf numFmtId="0" fontId="2" fillId="11" borderId="6" xfId="0" applyFont="1" applyFill="1" applyBorder="1"/>
    <xf numFmtId="0" fontId="5" fillId="11" borderId="15" xfId="0" applyFont="1" applyFill="1" applyBorder="1" applyAlignment="1">
      <alignment horizontal="center"/>
    </xf>
    <xf numFmtId="0" fontId="13" fillId="11" borderId="15" xfId="0" applyFont="1" applyFill="1" applyBorder="1"/>
    <xf numFmtId="0" fontId="13" fillId="11" borderId="7" xfId="0" applyFont="1" applyFill="1" applyBorder="1"/>
    <xf numFmtId="0" fontId="0" fillId="9" borderId="0" xfId="0" applyFill="1"/>
    <xf numFmtId="0" fontId="0" fillId="6" borderId="0" xfId="0" applyFill="1"/>
    <xf numFmtId="43" fontId="0" fillId="6" borderId="0" xfId="1" applyFont="1" applyFill="1"/>
    <xf numFmtId="43" fontId="0" fillId="9" borderId="0" xfId="1" applyFont="1" applyFill="1"/>
    <xf numFmtId="0" fontId="2" fillId="6" borderId="27" xfId="0" applyFont="1" applyFill="1" applyBorder="1"/>
    <xf numFmtId="0" fontId="2" fillId="9" borderId="27" xfId="0" applyFont="1" applyFill="1" applyBorder="1"/>
    <xf numFmtId="0" fontId="2" fillId="12" borderId="27" xfId="0" applyFont="1" applyFill="1" applyBorder="1"/>
    <xf numFmtId="43" fontId="2" fillId="12" borderId="0" xfId="1" applyFont="1" applyFill="1"/>
    <xf numFmtId="0" fontId="2" fillId="0" borderId="2" xfId="0" applyFont="1" applyBorder="1"/>
    <xf numFmtId="43" fontId="2" fillId="0" borderId="2" xfId="1" applyFont="1" applyBorder="1"/>
    <xf numFmtId="49" fontId="0" fillId="9" borderId="0" xfId="0" applyNumberFormat="1" applyFill="1"/>
    <xf numFmtId="168" fontId="0" fillId="0" borderId="0" xfId="0" applyNumberFormat="1"/>
    <xf numFmtId="49" fontId="0" fillId="0" borderId="0" xfId="0" applyNumberFormat="1"/>
    <xf numFmtId="2" fontId="0" fillId="0" borderId="0" xfId="0" applyNumberFormat="1"/>
    <xf numFmtId="168" fontId="0" fillId="0" borderId="27" xfId="0" applyNumberFormat="1" applyBorder="1"/>
    <xf numFmtId="49" fontId="0" fillId="0" borderId="27" xfId="0" applyNumberFormat="1" applyBorder="1"/>
    <xf numFmtId="2" fontId="0" fillId="0" borderId="27" xfId="0" applyNumberFormat="1" applyBorder="1"/>
    <xf numFmtId="0" fontId="2" fillId="0" borderId="4" xfId="0" applyFont="1" applyBorder="1" applyAlignment="1">
      <alignment horizontal="center"/>
    </xf>
    <xf numFmtId="0" fontId="2" fillId="12" borderId="26" xfId="0" applyFont="1" applyFill="1" applyBorder="1"/>
    <xf numFmtId="43" fontId="2" fillId="12" borderId="26" xfId="1" applyFont="1" applyFill="1" applyBorder="1"/>
    <xf numFmtId="164" fontId="21" fillId="0" borderId="0" xfId="1" applyNumberFormat="1" applyFont="1"/>
    <xf numFmtId="164" fontId="22" fillId="8" borderId="0" xfId="1" applyNumberFormat="1" applyFont="1" applyFill="1"/>
    <xf numFmtId="164" fontId="7" fillId="8" borderId="0" xfId="1" applyNumberFormat="1" applyFont="1" applyFill="1"/>
    <xf numFmtId="164" fontId="3" fillId="11" borderId="15" xfId="1" applyNumberFormat="1" applyFont="1" applyFill="1" applyBorder="1"/>
    <xf numFmtId="164" fontId="3" fillId="9" borderId="19" xfId="1" applyNumberFormat="1" applyFont="1" applyFill="1" applyBorder="1"/>
    <xf numFmtId="1" fontId="6" fillId="8" borderId="0" xfId="4" applyNumberFormat="1" applyFont="1" applyFill="1" applyAlignment="1">
      <alignment horizontal="center"/>
    </xf>
    <xf numFmtId="167" fontId="6" fillId="8" borderId="0" xfId="4" applyNumberFormat="1" applyFont="1" applyFill="1" applyAlignment="1">
      <alignment horizontal="left"/>
    </xf>
    <xf numFmtId="164" fontId="4" fillId="8" borderId="0" xfId="1" applyNumberFormat="1" applyFont="1" applyFill="1"/>
    <xf numFmtId="164" fontId="6" fillId="8" borderId="0" xfId="1" applyNumberFormat="1" applyFont="1" applyFill="1"/>
    <xf numFmtId="165" fontId="4" fillId="8" borderId="0" xfId="1" applyNumberFormat="1" applyFont="1" applyFill="1"/>
    <xf numFmtId="0" fontId="2" fillId="0" borderId="1" xfId="0" applyFont="1" applyBorder="1"/>
    <xf numFmtId="0" fontId="3" fillId="13" borderId="28" xfId="0" applyFont="1" applyFill="1" applyBorder="1"/>
    <xf numFmtId="0" fontId="3" fillId="13" borderId="29" xfId="0" applyFont="1" applyFill="1" applyBorder="1" applyAlignment="1">
      <alignment horizontal="center"/>
    </xf>
    <xf numFmtId="0" fontId="13" fillId="13" borderId="29" xfId="0" applyFont="1" applyFill="1" applyBorder="1"/>
    <xf numFmtId="0" fontId="13" fillId="13" borderId="30" xfId="0" applyFont="1" applyFill="1" applyBorder="1"/>
    <xf numFmtId="0" fontId="3" fillId="13" borderId="31" xfId="0" applyFont="1" applyFill="1" applyBorder="1"/>
    <xf numFmtId="0" fontId="5" fillId="13" borderId="27" xfId="0" applyFont="1" applyFill="1" applyBorder="1" applyAlignment="1">
      <alignment horizontal="center"/>
    </xf>
    <xf numFmtId="0" fontId="13" fillId="13" borderId="27" xfId="0" applyFont="1" applyFill="1" applyBorder="1"/>
    <xf numFmtId="0" fontId="13" fillId="13" borderId="32" xfId="0" applyFont="1" applyFill="1" applyBorder="1"/>
    <xf numFmtId="0" fontId="4" fillId="14" borderId="28" xfId="4" applyFont="1" applyFill="1" applyBorder="1" applyAlignment="1">
      <alignment horizontal="left"/>
    </xf>
    <xf numFmtId="38" fontId="0" fillId="14" borderId="29" xfId="1" applyNumberFormat="1" applyFont="1" applyFill="1" applyBorder="1" applyAlignment="1">
      <alignment horizontal="right"/>
    </xf>
    <xf numFmtId="38" fontId="0" fillId="14" borderId="29" xfId="0" applyNumberFormat="1" applyFill="1" applyBorder="1" applyAlignment="1">
      <alignment horizontal="right"/>
    </xf>
    <xf numFmtId="38" fontId="0" fillId="14" borderId="30" xfId="0" applyNumberFormat="1" applyFill="1" applyBorder="1" applyAlignment="1">
      <alignment horizontal="right"/>
    </xf>
    <xf numFmtId="0" fontId="4" fillId="14" borderId="33" xfId="4" applyFont="1" applyFill="1" applyBorder="1" applyAlignment="1">
      <alignment horizontal="left"/>
    </xf>
    <xf numFmtId="38" fontId="0" fillId="14" borderId="0" xfId="1" applyNumberFormat="1" applyFont="1" applyFill="1" applyBorder="1" applyAlignment="1">
      <alignment horizontal="right"/>
    </xf>
    <xf numFmtId="38" fontId="0" fillId="14" borderId="34" xfId="0" applyNumberFormat="1" applyFill="1" applyBorder="1" applyAlignment="1">
      <alignment horizontal="right"/>
    </xf>
    <xf numFmtId="0" fontId="0" fillId="14" borderId="33" xfId="0" applyFill="1" applyBorder="1"/>
    <xf numFmtId="38" fontId="0" fillId="14" borderId="26" xfId="0" applyNumberFormat="1" applyFill="1" applyBorder="1" applyAlignment="1">
      <alignment horizontal="right"/>
    </xf>
    <xf numFmtId="38" fontId="0" fillId="14" borderId="35" xfId="0" applyNumberFormat="1" applyFill="1" applyBorder="1" applyAlignment="1">
      <alignment horizontal="right"/>
    </xf>
    <xf numFmtId="167" fontId="4" fillId="15" borderId="33" xfId="1" applyNumberFormat="1" applyFont="1" applyFill="1" applyBorder="1" applyAlignment="1">
      <alignment horizontal="left"/>
    </xf>
    <xf numFmtId="38" fontId="4" fillId="15" borderId="0" xfId="1" applyNumberFormat="1" applyFont="1" applyFill="1" applyBorder="1" applyAlignment="1">
      <alignment horizontal="right"/>
    </xf>
    <xf numFmtId="38" fontId="0" fillId="15" borderId="34" xfId="0" applyNumberFormat="1" applyFill="1" applyBorder="1" applyAlignment="1">
      <alignment horizontal="right"/>
    </xf>
    <xf numFmtId="43" fontId="6" fillId="15" borderId="33" xfId="0" applyNumberFormat="1" applyFont="1" applyFill="1" applyBorder="1"/>
    <xf numFmtId="38" fontId="6" fillId="15" borderId="0" xfId="1" applyNumberFormat="1" applyFont="1" applyFill="1" applyBorder="1" applyAlignment="1">
      <alignment horizontal="right"/>
    </xf>
    <xf numFmtId="0" fontId="4" fillId="15" borderId="33" xfId="0" applyFont="1" applyFill="1" applyBorder="1"/>
    <xf numFmtId="0" fontId="2" fillId="15" borderId="33" xfId="0" applyFont="1" applyFill="1" applyBorder="1"/>
    <xf numFmtId="38" fontId="2" fillId="15" borderId="34" xfId="0" applyNumberFormat="1" applyFont="1" applyFill="1" applyBorder="1" applyAlignment="1">
      <alignment horizontal="right"/>
    </xf>
    <xf numFmtId="0" fontId="0" fillId="0" borderId="31" xfId="0" applyBorder="1"/>
    <xf numFmtId="38" fontId="0" fillId="0" borderId="27" xfId="0" applyNumberFormat="1" applyBorder="1" applyAlignment="1">
      <alignment horizontal="right"/>
    </xf>
    <xf numFmtId="38" fontId="0" fillId="0" borderId="32" xfId="0" applyNumberFormat="1" applyBorder="1" applyAlignment="1">
      <alignment horizontal="right"/>
    </xf>
    <xf numFmtId="0" fontId="2" fillId="16" borderId="31" xfId="0" applyFont="1" applyFill="1" applyBorder="1"/>
    <xf numFmtId="38" fontId="2" fillId="16" borderId="27" xfId="0" applyNumberFormat="1" applyFont="1" applyFill="1" applyBorder="1" applyAlignment="1">
      <alignment horizontal="right"/>
    </xf>
    <xf numFmtId="38" fontId="2" fillId="16" borderId="32" xfId="0" applyNumberFormat="1" applyFont="1" applyFill="1" applyBorder="1" applyAlignment="1">
      <alignment horizontal="right"/>
    </xf>
    <xf numFmtId="0" fontId="7" fillId="14" borderId="28" xfId="4" applyFont="1" applyFill="1" applyBorder="1" applyAlignment="1">
      <alignment horizontal="left"/>
    </xf>
    <xf numFmtId="38" fontId="2" fillId="14" borderId="29" xfId="1" applyNumberFormat="1" applyFont="1" applyFill="1" applyBorder="1" applyAlignment="1">
      <alignment horizontal="right"/>
    </xf>
    <xf numFmtId="38" fontId="2" fillId="14" borderId="30" xfId="1" applyNumberFormat="1" applyFont="1" applyFill="1" applyBorder="1" applyAlignment="1">
      <alignment horizontal="right"/>
    </xf>
    <xf numFmtId="0" fontId="0" fillId="0" borderId="33" xfId="0" applyBorder="1"/>
    <xf numFmtId="38" fontId="0" fillId="0" borderId="34" xfId="0" applyNumberFormat="1" applyBorder="1" applyAlignment="1">
      <alignment horizontal="right"/>
    </xf>
    <xf numFmtId="38" fontId="4" fillId="15" borderId="34" xfId="1" applyNumberFormat="1" applyFont="1" applyFill="1" applyBorder="1" applyAlignment="1">
      <alignment horizontal="right"/>
    </xf>
    <xf numFmtId="0" fontId="0" fillId="15" borderId="33" xfId="0" applyFill="1" applyBorder="1"/>
    <xf numFmtId="0" fontId="0" fillId="15" borderId="36" xfId="0" applyFill="1" applyBorder="1"/>
    <xf numFmtId="38" fontId="0" fillId="15" borderId="1" xfId="0" applyNumberFormat="1" applyFill="1" applyBorder="1" applyAlignment="1">
      <alignment horizontal="right"/>
    </xf>
    <xf numFmtId="38" fontId="0" fillId="15" borderId="37" xfId="0" applyNumberFormat="1" applyFill="1" applyBorder="1" applyAlignment="1">
      <alignment horizontal="right"/>
    </xf>
    <xf numFmtId="0" fontId="2" fillId="3" borderId="33" xfId="0" applyFont="1" applyFill="1" applyBorder="1"/>
    <xf numFmtId="38" fontId="2" fillId="3" borderId="34" xfId="0" applyNumberFormat="1" applyFont="1" applyFill="1" applyBorder="1" applyAlignment="1">
      <alignment horizontal="right"/>
    </xf>
    <xf numFmtId="0" fontId="2" fillId="3" borderId="38" xfId="0" applyFont="1" applyFill="1" applyBorder="1"/>
    <xf numFmtId="38" fontId="2" fillId="3" borderId="2" xfId="0" applyNumberFormat="1" applyFont="1" applyFill="1" applyBorder="1" applyAlignment="1">
      <alignment horizontal="right"/>
    </xf>
    <xf numFmtId="38" fontId="2" fillId="3" borderId="39" xfId="0" applyNumberFormat="1" applyFont="1" applyFill="1" applyBorder="1" applyAlignment="1">
      <alignment horizontal="right"/>
    </xf>
    <xf numFmtId="164" fontId="2" fillId="14" borderId="29" xfId="1" applyNumberFormat="1" applyFont="1" applyFill="1" applyBorder="1"/>
    <xf numFmtId="164" fontId="2" fillId="14" borderId="30" xfId="1" applyNumberFormat="1" applyFont="1" applyFill="1" applyBorder="1"/>
    <xf numFmtId="164" fontId="0" fillId="0" borderId="34" xfId="1" applyNumberFormat="1" applyFont="1" applyBorder="1"/>
    <xf numFmtId="164" fontId="0" fillId="15" borderId="34" xfId="1" applyNumberFormat="1" applyFont="1" applyFill="1" applyBorder="1"/>
    <xf numFmtId="0" fontId="2" fillId="3" borderId="40" xfId="0" applyFont="1" applyFill="1" applyBorder="1"/>
    <xf numFmtId="164" fontId="2" fillId="3" borderId="5" xfId="1" applyNumberFormat="1" applyFont="1" applyFill="1" applyBorder="1"/>
    <xf numFmtId="164" fontId="2" fillId="3" borderId="41" xfId="1" applyNumberFormat="1" applyFont="1" applyFill="1" applyBorder="1"/>
    <xf numFmtId="164" fontId="2" fillId="3" borderId="26" xfId="1" applyNumberFormat="1" applyFont="1" applyFill="1" applyBorder="1"/>
    <xf numFmtId="164" fontId="2" fillId="3" borderId="35" xfId="1" applyNumberFormat="1" applyFont="1" applyFill="1" applyBorder="1"/>
    <xf numFmtId="164" fontId="2" fillId="3" borderId="2" xfId="1" applyNumberFormat="1" applyFont="1" applyFill="1" applyBorder="1"/>
    <xf numFmtId="164" fontId="2" fillId="3" borderId="39" xfId="1" applyNumberFormat="1" applyFont="1" applyFill="1" applyBorder="1"/>
    <xf numFmtId="0" fontId="0" fillId="13" borderId="28" xfId="0" applyFill="1" applyBorder="1"/>
    <xf numFmtId="164" fontId="0" fillId="13" borderId="29" xfId="1" applyNumberFormat="1" applyFont="1" applyFill="1" applyBorder="1"/>
    <xf numFmtId="164" fontId="0" fillId="13" borderId="30" xfId="1" applyNumberFormat="1" applyFont="1" applyFill="1" applyBorder="1"/>
    <xf numFmtId="0" fontId="27" fillId="6" borderId="31" xfId="0" applyFont="1" applyFill="1" applyBorder="1"/>
    <xf numFmtId="164" fontId="27" fillId="6" borderId="27" xfId="1" applyNumberFormat="1" applyFont="1" applyFill="1" applyBorder="1"/>
    <xf numFmtId="164" fontId="27" fillId="6" borderId="32" xfId="1" applyNumberFormat="1" applyFont="1" applyFill="1" applyBorder="1"/>
    <xf numFmtId="0" fontId="19" fillId="0" borderId="0" xfId="0" applyFont="1"/>
    <xf numFmtId="1" fontId="6" fillId="0" borderId="0" xfId="4" applyNumberFormat="1" applyFont="1" applyAlignment="1">
      <alignment horizontal="center"/>
    </xf>
    <xf numFmtId="167" fontId="6" fillId="0" borderId="0" xfId="4" applyNumberFormat="1" applyFont="1" applyAlignment="1">
      <alignment horizontal="left"/>
    </xf>
    <xf numFmtId="165" fontId="2" fillId="14" borderId="29" xfId="1" applyNumberFormat="1" applyFont="1" applyFill="1" applyBorder="1" applyAlignment="1">
      <alignment horizontal="right"/>
    </xf>
    <xf numFmtId="165" fontId="4" fillId="15" borderId="0" xfId="1" applyNumberFormat="1" applyFont="1" applyFill="1" applyBorder="1" applyAlignment="1">
      <alignment horizontal="right"/>
    </xf>
    <xf numFmtId="165" fontId="0" fillId="15" borderId="1" xfId="0" applyNumberFormat="1" applyFill="1" applyBorder="1" applyAlignment="1">
      <alignment horizontal="right"/>
    </xf>
    <xf numFmtId="165" fontId="2" fillId="3" borderId="2" xfId="0" applyNumberFormat="1" applyFont="1" applyFill="1" applyBorder="1" applyAlignment="1">
      <alignment horizontal="right"/>
    </xf>
    <xf numFmtId="165" fontId="2" fillId="14" borderId="29" xfId="1" applyNumberFormat="1" applyFont="1" applyFill="1" applyBorder="1"/>
    <xf numFmtId="165" fontId="2" fillId="3" borderId="5" xfId="1" applyNumberFormat="1" applyFont="1" applyFill="1" applyBorder="1"/>
    <xf numFmtId="165" fontId="2" fillId="3" borderId="26" xfId="1" applyNumberFormat="1" applyFont="1" applyFill="1" applyBorder="1"/>
    <xf numFmtId="165" fontId="2" fillId="3" borderId="2" xfId="1" applyNumberFormat="1" applyFont="1" applyFill="1" applyBorder="1"/>
    <xf numFmtId="165" fontId="0" fillId="13" borderId="29" xfId="1" applyNumberFormat="1" applyFont="1" applyFill="1" applyBorder="1"/>
    <xf numFmtId="165" fontId="27" fillId="6" borderId="27" xfId="1" applyNumberFormat="1" applyFont="1" applyFill="1" applyBorder="1"/>
    <xf numFmtId="9" fontId="6" fillId="0" borderId="0" xfId="5" applyFont="1"/>
    <xf numFmtId="164" fontId="0" fillId="0" borderId="0" xfId="0" applyNumberFormat="1"/>
    <xf numFmtId="9" fontId="2" fillId="0" borderId="0" xfId="5" applyFont="1" applyAlignment="1">
      <alignment horizontal="center"/>
    </xf>
    <xf numFmtId="9" fontId="13" fillId="0" borderId="0" xfId="5" applyFont="1"/>
    <xf numFmtId="9" fontId="13" fillId="11" borderId="15" xfId="5" applyFont="1" applyFill="1" applyBorder="1"/>
    <xf numFmtId="9" fontId="4" fillId="0" borderId="0" xfId="5" applyFont="1"/>
    <xf numFmtId="9" fontId="4" fillId="0" borderId="0" xfId="5" applyFont="1" applyFill="1"/>
    <xf numFmtId="9" fontId="7" fillId="8" borderId="0" xfId="5" applyFont="1" applyFill="1"/>
    <xf numFmtId="9" fontId="3" fillId="11" borderId="15" xfId="5" applyFont="1" applyFill="1" applyBorder="1"/>
    <xf numFmtId="9" fontId="0" fillId="0" borderId="0" xfId="5" applyFont="1"/>
    <xf numFmtId="9" fontId="2" fillId="0" borderId="0" xfId="5" applyFont="1"/>
    <xf numFmtId="9" fontId="5" fillId="10" borderId="15" xfId="5" applyFont="1" applyFill="1" applyBorder="1" applyAlignment="1">
      <alignment horizontal="center"/>
    </xf>
    <xf numFmtId="9" fontId="3" fillId="9" borderId="19" xfId="5" applyFont="1" applyFill="1" applyBorder="1"/>
    <xf numFmtId="9" fontId="16" fillId="0" borderId="0" xfId="5" applyFont="1"/>
    <xf numFmtId="9" fontId="10" fillId="10" borderId="15" xfId="5" applyFont="1" applyFill="1" applyBorder="1"/>
    <xf numFmtId="9" fontId="6" fillId="8" borderId="0" xfId="5" applyFont="1" applyFill="1"/>
    <xf numFmtId="9" fontId="8" fillId="10" borderId="27" xfId="5" applyFont="1" applyFill="1" applyBorder="1"/>
    <xf numFmtId="9" fontId="9" fillId="10" borderId="27" xfId="5" applyFont="1" applyFill="1" applyBorder="1"/>
    <xf numFmtId="9" fontId="6" fillId="0" borderId="27" xfId="5" applyFont="1" applyBorder="1"/>
    <xf numFmtId="0" fontId="26" fillId="0" borderId="1" xfId="0" applyFont="1" applyBorder="1"/>
    <xf numFmtId="0" fontId="0" fillId="0" borderId="34" xfId="0" applyBorder="1"/>
    <xf numFmtId="38" fontId="0" fillId="14" borderId="0" xfId="0" applyNumberFormat="1" applyFill="1" applyAlignment="1">
      <alignment horizontal="right"/>
    </xf>
    <xf numFmtId="38" fontId="2" fillId="15" borderId="0" xfId="0" applyNumberFormat="1" applyFont="1" applyFill="1" applyAlignment="1">
      <alignment horizontal="right"/>
    </xf>
    <xf numFmtId="165" fontId="0" fillId="0" borderId="0" xfId="0" applyNumberFormat="1" applyAlignment="1">
      <alignment horizontal="right"/>
    </xf>
    <xf numFmtId="38" fontId="0" fillId="0" borderId="0" xfId="0" applyNumberFormat="1" applyAlignment="1">
      <alignment horizontal="right"/>
    </xf>
    <xf numFmtId="165" fontId="0" fillId="15" borderId="0" xfId="0" applyNumberFormat="1" applyFill="1" applyAlignment="1">
      <alignment horizontal="right"/>
    </xf>
    <xf numFmtId="38" fontId="0" fillId="15" borderId="0" xfId="0" applyNumberFormat="1" applyFill="1" applyAlignment="1">
      <alignment horizontal="right"/>
    </xf>
    <xf numFmtId="165" fontId="2" fillId="3" borderId="0" xfId="0" applyNumberFormat="1" applyFont="1" applyFill="1" applyAlignment="1">
      <alignment horizontal="right"/>
    </xf>
    <xf numFmtId="38" fontId="2" fillId="3" borderId="0" xfId="0" applyNumberFormat="1" applyFont="1" applyFill="1" applyAlignment="1">
      <alignment horizontal="right"/>
    </xf>
    <xf numFmtId="0" fontId="5" fillId="0" borderId="3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4" xfId="0" applyFont="1" applyBorder="1" applyAlignment="1">
      <alignment horizontal="center"/>
    </xf>
    <xf numFmtId="165" fontId="0" fillId="0" borderId="0" xfId="1" applyNumberFormat="1" applyFont="1" applyBorder="1"/>
    <xf numFmtId="164" fontId="0" fillId="0" borderId="0" xfId="1" applyNumberFormat="1" applyFont="1" applyBorder="1"/>
    <xf numFmtId="165" fontId="0" fillId="15" borderId="0" xfId="1" applyNumberFormat="1" applyFont="1" applyFill="1" applyBorder="1"/>
    <xf numFmtId="164" fontId="0" fillId="15" borderId="0" xfId="1" applyNumberFormat="1" applyFont="1" applyFill="1" applyBorder="1"/>
    <xf numFmtId="0" fontId="30" fillId="0" borderId="44" xfId="0" applyFont="1" applyBorder="1"/>
    <xf numFmtId="0" fontId="9" fillId="0" borderId="0" xfId="0" applyFont="1" applyAlignment="1">
      <alignment horizontal="center"/>
    </xf>
    <xf numFmtId="0" fontId="31" fillId="0" borderId="0" xfId="0" applyFont="1"/>
    <xf numFmtId="0" fontId="6" fillId="0" borderId="45" xfId="0" applyFont="1" applyBorder="1"/>
    <xf numFmtId="0" fontId="6" fillId="0" borderId="44" xfId="0" applyFont="1" applyBorder="1"/>
    <xf numFmtId="0" fontId="30" fillId="0" borderId="0" xfId="0" applyFont="1"/>
    <xf numFmtId="0" fontId="6" fillId="0" borderId="46" xfId="0" applyFont="1" applyBorder="1"/>
    <xf numFmtId="0" fontId="30" fillId="0" borderId="46" xfId="0" applyFont="1" applyBorder="1" applyAlignment="1">
      <alignment wrapText="1"/>
    </xf>
    <xf numFmtId="0" fontId="6" fillId="0" borderId="46" xfId="0" applyFont="1" applyBorder="1" applyAlignment="1">
      <alignment horizontal="center"/>
    </xf>
    <xf numFmtId="0" fontId="6" fillId="0" borderId="47" xfId="0" applyFont="1" applyBorder="1"/>
    <xf numFmtId="0" fontId="9" fillId="0" borderId="48" xfId="0" applyFont="1" applyBorder="1" applyAlignment="1">
      <alignment horizontal="center"/>
    </xf>
    <xf numFmtId="0" fontId="6" fillId="0" borderId="48" xfId="0" applyFont="1" applyBorder="1"/>
    <xf numFmtId="0" fontId="6" fillId="0" borderId="26" xfId="0" applyFont="1" applyBorder="1"/>
    <xf numFmtId="0" fontId="6" fillId="0" borderId="49" xfId="0" applyFont="1" applyBorder="1"/>
    <xf numFmtId="0" fontId="32" fillId="0" borderId="0" xfId="0" applyFont="1" applyAlignment="1">
      <alignment horizontal="center"/>
    </xf>
    <xf numFmtId="0" fontId="28" fillId="0" borderId="44" xfId="0" applyFont="1" applyBorder="1"/>
    <xf numFmtId="0" fontId="6" fillId="0" borderId="50" xfId="0" applyFont="1" applyBorder="1"/>
    <xf numFmtId="17" fontId="6" fillId="0" borderId="5" xfId="0" applyNumberFormat="1" applyFont="1" applyBorder="1"/>
    <xf numFmtId="0" fontId="6" fillId="0" borderId="5" xfId="0" applyFont="1" applyBorder="1"/>
    <xf numFmtId="0" fontId="32" fillId="0" borderId="51" xfId="0" applyFont="1" applyBorder="1" applyAlignment="1">
      <alignment horizontal="center"/>
    </xf>
    <xf numFmtId="169" fontId="9" fillId="0" borderId="46" xfId="1" applyNumberFormat="1" applyFont="1" applyFill="1" applyBorder="1"/>
    <xf numFmtId="0" fontId="28" fillId="0" borderId="0" xfId="0" applyFont="1" applyAlignment="1">
      <alignment horizontal="center"/>
    </xf>
    <xf numFmtId="0" fontId="31" fillId="0" borderId="44" xfId="0" applyFont="1" applyBorder="1"/>
    <xf numFmtId="0" fontId="33" fillId="0" borderId="44" xfId="0" applyFont="1" applyBorder="1"/>
    <xf numFmtId="0" fontId="31" fillId="0" borderId="0" xfId="0" applyFont="1" applyAlignment="1">
      <alignment horizontal="center"/>
    </xf>
    <xf numFmtId="0" fontId="29" fillId="0" borderId="44" xfId="0" applyFont="1" applyBorder="1"/>
    <xf numFmtId="0" fontId="33" fillId="0" borderId="1" xfId="0" applyFont="1" applyBorder="1"/>
    <xf numFmtId="0" fontId="32" fillId="0" borderId="44" xfId="0" applyFont="1" applyBorder="1"/>
    <xf numFmtId="0" fontId="30" fillId="0" borderId="0" xfId="0" applyFont="1" applyAlignment="1">
      <alignment horizontal="right"/>
    </xf>
    <xf numFmtId="0" fontId="30" fillId="0" borderId="46" xfId="0" applyFont="1" applyBorder="1" applyAlignment="1">
      <alignment horizontal="right"/>
    </xf>
    <xf numFmtId="170" fontId="6" fillId="0" borderId="44" xfId="0" applyNumberFormat="1" applyFont="1" applyBorder="1" applyAlignment="1">
      <alignment horizontal="center"/>
    </xf>
    <xf numFmtId="0" fontId="9" fillId="0" borderId="0" xfId="0" quotePrefix="1" applyFont="1" applyAlignment="1">
      <alignment horizontal="center"/>
    </xf>
    <xf numFmtId="4" fontId="6" fillId="0" borderId="0" xfId="0" applyNumberFormat="1" applyFont="1"/>
    <xf numFmtId="167" fontId="6" fillId="0" borderId="0" xfId="0" applyNumberFormat="1" applyFont="1"/>
    <xf numFmtId="6" fontId="6" fillId="0" borderId="46" xfId="0" applyNumberFormat="1" applyFont="1" applyBorder="1"/>
    <xf numFmtId="0" fontId="6" fillId="0" borderId="1" xfId="0" applyFont="1" applyBorder="1"/>
    <xf numFmtId="4" fontId="6" fillId="0" borderId="1" xfId="0" applyNumberFormat="1" applyFont="1" applyBorder="1"/>
    <xf numFmtId="1" fontId="6" fillId="0" borderId="0" xfId="0" applyNumberFormat="1" applyFont="1"/>
    <xf numFmtId="167" fontId="6" fillId="0" borderId="26" xfId="0" applyNumberFormat="1" applyFont="1" applyBorder="1"/>
    <xf numFmtId="6" fontId="9" fillId="0" borderId="54" xfId="0" applyNumberFormat="1" applyFont="1" applyBorder="1"/>
    <xf numFmtId="0" fontId="30" fillId="0" borderId="0" xfId="0" applyFont="1" applyAlignment="1">
      <alignment horizontal="center"/>
    </xf>
    <xf numFmtId="6" fontId="30" fillId="0" borderId="46" xfId="0" applyNumberFormat="1" applyFont="1" applyBorder="1" applyAlignment="1">
      <alignment horizontal="right"/>
    </xf>
    <xf numFmtId="2" fontId="6" fillId="0" borderId="0" xfId="0" applyNumberFormat="1" applyFont="1"/>
    <xf numFmtId="8" fontId="6" fillId="0" borderId="0" xfId="0" applyNumberFormat="1" applyFont="1"/>
    <xf numFmtId="0" fontId="6" fillId="0" borderId="48" xfId="0" applyFont="1" applyBorder="1" applyAlignment="1">
      <alignment horizontal="center"/>
    </xf>
    <xf numFmtId="8" fontId="6" fillId="0" borderId="26" xfId="0" applyNumberFormat="1" applyFont="1" applyBorder="1"/>
    <xf numFmtId="0" fontId="6" fillId="0" borderId="0" xfId="0" applyFont="1" applyAlignment="1">
      <alignment horizontal="center"/>
    </xf>
    <xf numFmtId="6" fontId="9" fillId="0" borderId="46" xfId="0" applyNumberFormat="1" applyFont="1" applyBorder="1"/>
    <xf numFmtId="8" fontId="30" fillId="0" borderId="0" xfId="0" applyNumberFormat="1" applyFont="1" applyAlignment="1">
      <alignment horizontal="right"/>
    </xf>
    <xf numFmtId="0" fontId="32" fillId="0" borderId="48" xfId="0" applyFont="1" applyBorder="1" applyAlignment="1">
      <alignment horizontal="center"/>
    </xf>
    <xf numFmtId="8" fontId="6" fillId="0" borderId="48" xfId="0" applyNumberFormat="1" applyFont="1" applyBorder="1"/>
    <xf numFmtId="6" fontId="9" fillId="0" borderId="49" xfId="0" applyNumberFormat="1" applyFont="1" applyBorder="1"/>
    <xf numFmtId="170" fontId="6" fillId="0" borderId="47" xfId="0" applyNumberFormat="1" applyFont="1" applyBorder="1" applyAlignment="1">
      <alignment horizontal="center"/>
    </xf>
    <xf numFmtId="0" fontId="9" fillId="0" borderId="49" xfId="0" applyFont="1" applyBorder="1"/>
    <xf numFmtId="0" fontId="6" fillId="0" borderId="55" xfId="0" applyFont="1" applyBorder="1"/>
    <xf numFmtId="0" fontId="9" fillId="0" borderId="56" xfId="0" applyFont="1" applyBorder="1" applyAlignment="1">
      <alignment horizontal="center"/>
    </xf>
    <xf numFmtId="0" fontId="6" fillId="0" borderId="56" xfId="0" applyFont="1" applyBorder="1"/>
    <xf numFmtId="0" fontId="6" fillId="0" borderId="57" xfId="0" applyFont="1" applyBorder="1"/>
    <xf numFmtId="0" fontId="34" fillId="0" borderId="44" xfId="0" applyFont="1" applyBorder="1"/>
    <xf numFmtId="0" fontId="6" fillId="0" borderId="44" xfId="0" applyFont="1" applyBorder="1" applyAlignment="1">
      <alignment horizontal="center"/>
    </xf>
    <xf numFmtId="0" fontId="35" fillId="0" borderId="0" xfId="0" applyFont="1"/>
    <xf numFmtId="0" fontId="36" fillId="0" borderId="44" xfId="0" applyFont="1" applyBorder="1"/>
    <xf numFmtId="0" fontId="9" fillId="0" borderId="44" xfId="0" applyFont="1" applyBorder="1"/>
    <xf numFmtId="8" fontId="9" fillId="0" borderId="0" xfId="0" applyNumberFormat="1" applyFont="1"/>
    <xf numFmtId="0" fontId="34" fillId="0" borderId="44" xfId="0" applyFont="1" applyBorder="1" applyAlignment="1">
      <alignment horizontal="left"/>
    </xf>
    <xf numFmtId="0" fontId="34" fillId="0" borderId="0" xfId="0" applyFont="1" applyAlignment="1">
      <alignment horizontal="center"/>
    </xf>
    <xf numFmtId="10" fontId="9" fillId="0" borderId="0" xfId="5" applyNumberFormat="1" applyFont="1" applyFill="1" applyBorder="1"/>
    <xf numFmtId="0" fontId="37" fillId="0" borderId="5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43" fontId="31" fillId="0" borderId="46" xfId="1" applyFont="1" applyBorder="1"/>
    <xf numFmtId="43" fontId="31" fillId="0" borderId="52" xfId="1" applyFont="1" applyBorder="1"/>
    <xf numFmtId="43" fontId="5" fillId="0" borderId="0" xfId="1" applyFont="1"/>
    <xf numFmtId="43" fontId="0" fillId="18" borderId="0" xfId="1" applyFont="1" applyFill="1"/>
    <xf numFmtId="43" fontId="9" fillId="0" borderId="51" xfId="1" applyFont="1" applyFill="1" applyBorder="1"/>
    <xf numFmtId="17" fontId="33" fillId="0" borderId="0" xfId="0" applyNumberFormat="1" applyFont="1"/>
    <xf numFmtId="0" fontId="33" fillId="0" borderId="0" xfId="0" applyFont="1"/>
    <xf numFmtId="17" fontId="33" fillId="0" borderId="0" xfId="0" applyNumberFormat="1" applyFont="1" applyAlignment="1">
      <alignment horizontal="right"/>
    </xf>
    <xf numFmtId="43" fontId="8" fillId="0" borderId="46" xfId="1" applyFont="1" applyBorder="1"/>
    <xf numFmtId="0" fontId="33" fillId="0" borderId="58" xfId="0" applyFont="1" applyBorder="1"/>
    <xf numFmtId="0" fontId="33" fillId="0" borderId="3" xfId="0" quotePrefix="1" applyFont="1" applyBorder="1" applyAlignment="1">
      <alignment horizontal="right"/>
    </xf>
    <xf numFmtId="0" fontId="33" fillId="0" borderId="3" xfId="0" applyFont="1" applyBorder="1"/>
    <xf numFmtId="43" fontId="31" fillId="0" borderId="59" xfId="1" applyFont="1" applyBorder="1"/>
    <xf numFmtId="43" fontId="31" fillId="0" borderId="14" xfId="1" applyFont="1" applyBorder="1"/>
    <xf numFmtId="0" fontId="31" fillId="0" borderId="53" xfId="0" applyFont="1" applyBorder="1"/>
    <xf numFmtId="10" fontId="16" fillId="0" borderId="0" xfId="0" applyNumberFormat="1" applyFont="1"/>
    <xf numFmtId="10" fontId="2" fillId="19" borderId="44" xfId="5" applyNumberFormat="1" applyFont="1" applyFill="1" applyBorder="1"/>
    <xf numFmtId="9" fontId="2" fillId="19" borderId="44" xfId="5" applyFont="1" applyFill="1" applyBorder="1"/>
    <xf numFmtId="43" fontId="0" fillId="19" borderId="0" xfId="0" applyNumberFormat="1" applyFill="1"/>
    <xf numFmtId="43" fontId="19" fillId="19" borderId="0" xfId="0" applyNumberFormat="1" applyFont="1" applyFill="1"/>
    <xf numFmtId="164" fontId="0" fillId="19" borderId="0" xfId="1" applyNumberFormat="1" applyFont="1" applyFill="1" applyBorder="1"/>
    <xf numFmtId="43" fontId="0" fillId="19" borderId="46" xfId="0" applyNumberFormat="1" applyFill="1" applyBorder="1"/>
    <xf numFmtId="43" fontId="2" fillId="19" borderId="2" xfId="0" applyNumberFormat="1" applyFont="1" applyFill="1" applyBorder="1"/>
    <xf numFmtId="164" fontId="2" fillId="19" borderId="2" xfId="1" applyNumberFormat="1" applyFont="1" applyFill="1" applyBorder="1"/>
    <xf numFmtId="9" fontId="0" fillId="20" borderId="0" xfId="5" applyFont="1" applyFill="1"/>
    <xf numFmtId="164" fontId="0" fillId="20" borderId="0" xfId="1" applyNumberFormat="1" applyFont="1" applyFill="1"/>
    <xf numFmtId="0" fontId="0" fillId="20" borderId="0" xfId="0" applyFill="1"/>
    <xf numFmtId="164" fontId="2" fillId="19" borderId="0" xfId="1" applyNumberFormat="1" applyFont="1" applyFill="1" applyBorder="1"/>
    <xf numFmtId="9" fontId="2" fillId="19" borderId="46" xfId="5" applyFont="1" applyFill="1" applyBorder="1"/>
    <xf numFmtId="167" fontId="0" fillId="0" borderId="0" xfId="0" applyNumberFormat="1"/>
    <xf numFmtId="43" fontId="0" fillId="19" borderId="44" xfId="0" applyNumberFormat="1" applyFill="1" applyBorder="1"/>
    <xf numFmtId="43" fontId="9" fillId="0" borderId="54" xfId="0" applyNumberFormat="1" applyFont="1" applyBorder="1"/>
    <xf numFmtId="164" fontId="9" fillId="0" borderId="54" xfId="1" applyNumberFormat="1" applyFont="1" applyBorder="1"/>
    <xf numFmtId="167" fontId="9" fillId="0" borderId="26" xfId="0" applyNumberFormat="1" applyFont="1" applyBorder="1"/>
    <xf numFmtId="167" fontId="9" fillId="19" borderId="61" xfId="0" applyNumberFormat="1" applyFont="1" applyFill="1" applyBorder="1"/>
    <xf numFmtId="6" fontId="0" fillId="19" borderId="0" xfId="0" applyNumberFormat="1" applyFill="1"/>
    <xf numFmtId="0" fontId="0" fillId="19" borderId="44" xfId="0" applyFill="1" applyBorder="1"/>
    <xf numFmtId="167" fontId="0" fillId="19" borderId="0" xfId="0" applyNumberFormat="1" applyFill="1"/>
    <xf numFmtId="0" fontId="0" fillId="19" borderId="46" xfId="0" applyFill="1" applyBorder="1"/>
    <xf numFmtId="9" fontId="2" fillId="20" borderId="0" xfId="5" applyFont="1" applyFill="1"/>
    <xf numFmtId="164" fontId="2" fillId="20" borderId="0" xfId="1" applyNumberFormat="1" applyFont="1" applyFill="1"/>
    <xf numFmtId="43" fontId="0" fillId="19" borderId="53" xfId="0" applyNumberFormat="1" applyFill="1" applyBorder="1"/>
    <xf numFmtId="43" fontId="19" fillId="19" borderId="1" xfId="0" applyNumberFormat="1" applyFont="1" applyFill="1" applyBorder="1"/>
    <xf numFmtId="43" fontId="0" fillId="19" borderId="1" xfId="0" applyNumberFormat="1" applyFill="1" applyBorder="1"/>
    <xf numFmtId="43" fontId="0" fillId="19" borderId="52" xfId="0" applyNumberFormat="1" applyFill="1" applyBorder="1"/>
    <xf numFmtId="167" fontId="9" fillId="19" borderId="21" xfId="0" applyNumberFormat="1" applyFont="1" applyFill="1" applyBorder="1"/>
    <xf numFmtId="167" fontId="2" fillId="21" borderId="2" xfId="0" applyNumberFormat="1" applyFont="1" applyFill="1" applyBorder="1"/>
    <xf numFmtId="10" fontId="2" fillId="0" borderId="0" xfId="0" applyNumberFormat="1" applyFont="1"/>
    <xf numFmtId="10" fontId="0" fillId="0" borderId="0" xfId="0" applyNumberFormat="1"/>
    <xf numFmtId="43" fontId="19" fillId="0" borderId="0" xfId="0" applyNumberFormat="1" applyFont="1"/>
    <xf numFmtId="167" fontId="19" fillId="0" borderId="0" xfId="0" applyNumberFormat="1" applyFont="1"/>
    <xf numFmtId="43" fontId="2" fillId="0" borderId="2" xfId="0" applyNumberFormat="1" applyFont="1" applyBorder="1"/>
    <xf numFmtId="43" fontId="2" fillId="0" borderId="62" xfId="0" applyNumberFormat="1" applyFont="1" applyBorder="1"/>
    <xf numFmtId="43" fontId="2" fillId="18" borderId="26" xfId="1" applyFont="1" applyFill="1" applyBorder="1"/>
    <xf numFmtId="164" fontId="2" fillId="0" borderId="26" xfId="1" applyNumberFormat="1" applyFont="1" applyBorder="1"/>
    <xf numFmtId="167" fontId="2" fillId="0" borderId="26" xfId="0" applyNumberFormat="1" applyFont="1" applyBorder="1"/>
    <xf numFmtId="43" fontId="2" fillId="19" borderId="62" xfId="0" applyNumberFormat="1" applyFont="1" applyFill="1" applyBorder="1"/>
    <xf numFmtId="43" fontId="2" fillId="19" borderId="26" xfId="0" applyNumberFormat="1" applyFont="1" applyFill="1" applyBorder="1"/>
    <xf numFmtId="164" fontId="2" fillId="19" borderId="26" xfId="1" applyNumberFormat="1" applyFont="1" applyFill="1" applyBorder="1"/>
    <xf numFmtId="43" fontId="2" fillId="19" borderId="54" xfId="0" applyNumberFormat="1" applyFont="1" applyFill="1" applyBorder="1"/>
    <xf numFmtId="167" fontId="38" fillId="19" borderId="61" xfId="0" applyNumberFormat="1" applyFont="1" applyFill="1" applyBorder="1"/>
    <xf numFmtId="43" fontId="2" fillId="19" borderId="60" xfId="1" applyFont="1" applyFill="1" applyBorder="1"/>
    <xf numFmtId="43" fontId="19" fillId="19" borderId="44" xfId="0" applyNumberFormat="1" applyFont="1" applyFill="1" applyBorder="1"/>
    <xf numFmtId="6" fontId="19" fillId="19" borderId="0" xfId="0" applyNumberFormat="1" applyFont="1" applyFill="1"/>
    <xf numFmtId="171" fontId="31" fillId="0" borderId="46" xfId="1" applyNumberFormat="1" applyFont="1" applyFill="1" applyBorder="1" applyAlignment="1">
      <alignment horizontal="right"/>
    </xf>
    <xf numFmtId="0" fontId="16" fillId="0" borderId="0" xfId="0" applyFont="1"/>
    <xf numFmtId="0" fontId="0" fillId="0" borderId="0" xfId="0" applyAlignment="1">
      <alignment horizontal="left"/>
    </xf>
    <xf numFmtId="49" fontId="39" fillId="0" borderId="0" xfId="0" applyNumberFormat="1" applyFont="1"/>
    <xf numFmtId="14" fontId="40" fillId="0" borderId="0" xfId="0" applyNumberFormat="1" applyFont="1" applyAlignment="1">
      <alignment horizontal="left"/>
    </xf>
    <xf numFmtId="0" fontId="41" fillId="0" borderId="0" xfId="0" applyFont="1"/>
    <xf numFmtId="0" fontId="42" fillId="0" borderId="0" xfId="0" applyFont="1"/>
    <xf numFmtId="0" fontId="40" fillId="0" borderId="0" xfId="0" applyFont="1" applyAlignment="1">
      <alignment vertical="center"/>
    </xf>
    <xf numFmtId="43" fontId="19" fillId="0" borderId="0" xfId="1" applyFont="1"/>
    <xf numFmtId="9" fontId="16" fillId="0" borderId="0" xfId="5" applyFont="1" applyFill="1"/>
    <xf numFmtId="0" fontId="14" fillId="11" borderId="0" xfId="0" applyFont="1" applyFill="1" applyAlignment="1">
      <alignment horizontal="center"/>
    </xf>
    <xf numFmtId="0" fontId="24" fillId="9" borderId="6" xfId="0" applyFont="1" applyFill="1" applyBorder="1" applyAlignment="1">
      <alignment horizontal="center"/>
    </xf>
    <xf numFmtId="0" fontId="24" fillId="9" borderId="15" xfId="0" applyFont="1" applyFill="1" applyBorder="1" applyAlignment="1">
      <alignment horizontal="center"/>
    </xf>
    <xf numFmtId="0" fontId="24" fillId="9" borderId="7" xfId="0" applyFont="1" applyFill="1" applyBorder="1" applyAlignment="1">
      <alignment horizontal="center"/>
    </xf>
    <xf numFmtId="0" fontId="5" fillId="9" borderId="6" xfId="0" applyFont="1" applyFill="1" applyBorder="1" applyAlignment="1">
      <alignment horizontal="center"/>
    </xf>
    <xf numFmtId="0" fontId="5" fillId="9" borderId="15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23" fillId="12" borderId="0" xfId="0" applyFont="1" applyFill="1" applyAlignment="1">
      <alignment horizontal="center"/>
    </xf>
    <xf numFmtId="0" fontId="23" fillId="12" borderId="27" xfId="0" applyFont="1" applyFill="1" applyBorder="1" applyAlignment="1">
      <alignment horizontal="center"/>
    </xf>
    <xf numFmtId="0" fontId="28" fillId="17" borderId="50" xfId="0" applyFont="1" applyFill="1" applyBorder="1" applyAlignment="1">
      <alignment horizontal="center"/>
    </xf>
    <xf numFmtId="0" fontId="28" fillId="17" borderId="5" xfId="0" applyFont="1" applyFill="1" applyBorder="1" applyAlignment="1">
      <alignment horizontal="center"/>
    </xf>
    <xf numFmtId="0" fontId="28" fillId="17" borderId="51" xfId="0" applyFont="1" applyFill="1" applyBorder="1" applyAlignment="1">
      <alignment horizontal="center"/>
    </xf>
    <xf numFmtId="0" fontId="28" fillId="17" borderId="42" xfId="0" applyFont="1" applyFill="1" applyBorder="1" applyAlignment="1">
      <alignment horizontal="center"/>
    </xf>
    <xf numFmtId="0" fontId="29" fillId="17" borderId="27" xfId="0" applyFont="1" applyFill="1" applyBorder="1"/>
    <xf numFmtId="0" fontId="29" fillId="17" borderId="43" xfId="0" applyFont="1" applyFill="1" applyBorder="1"/>
    <xf numFmtId="0" fontId="2" fillId="19" borderId="58" xfId="0" applyFont="1" applyFill="1" applyBorder="1" applyAlignment="1">
      <alignment horizontal="center"/>
    </xf>
    <xf numFmtId="0" fontId="2" fillId="19" borderId="3" xfId="0" applyFont="1" applyFill="1" applyBorder="1" applyAlignment="1">
      <alignment horizontal="center"/>
    </xf>
    <xf numFmtId="0" fontId="2" fillId="19" borderId="59" xfId="0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 12 9" xfId="4" xr:uid="{8B6450F6-C8AF-4879-8997-B2FD44F74853}"/>
    <cellStyle name="Normal 138" xfId="2" xr:uid="{3408A754-0444-41B3-B847-A5C445E3821E}"/>
    <cellStyle name="Normal 89" xfId="3" xr:uid="{F556D711-7105-4D3E-8605-6C4E3CF4FE42}"/>
    <cellStyle name="Per cent" xfId="5" builtinId="5"/>
  </cellStyles>
  <dxfs count="0"/>
  <tableStyles count="0" defaultTableStyle="TableStyleMedium2" defaultPivotStyle="PivotStyleLight16"/>
  <colors>
    <mruColors>
      <color rgb="FFFFCC00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ouldenhousecoop-my.sharepoint.com/personal/accounts_gouldenhouse_org/Documents/01%20ACCOUNTS/05%20REPORTINGS/01%20MANAGEMENT%20REPORTS/MONTHLY%20REPORTS/2024/GH%20-%20Management%20Accounts%20Dec%202023%20.xlsx" TargetMode="External"/><Relationship Id="rId1" Type="http://schemas.openxmlformats.org/officeDocument/2006/relationships/externalLinkPath" Target="/personal/accounts_gouldenhouse_org/Documents/01%20ACCOUNTS/05%20REPORTINGS/01%20MANAGEMENT%20REPORTS/MONTHLY%20REPORTS/2024/GH%20-%20Management%20Accounts%20Dec%202023%2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msul\OneDrive%20-%20Gouldenhouse%20Cooperative%20Ltd%20(1)\01%20ACCOUNTS\05%20REPORTINGS\02%20BUDGETS\2024\GOU001%20-%20APPROVED%20BUDGET%202023-24.xlsx" TargetMode="External"/><Relationship Id="rId1" Type="http://schemas.openxmlformats.org/officeDocument/2006/relationships/externalLinkPath" Target="file:///C:\Users\zmsul\OneDrive%20-%20Gouldenhouse%20Cooperative%20Ltd%20(1)\01%20ACCOUNTS\05%20REPORTINGS\02%20BUDGETS\2024\GOU001%20-%20APPROVED%20BUDGET%20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nagement Acc 2019-20"/>
      <sheetName val="MANAGEMENT ACCOUNT 2023-24"/>
      <sheetName val="LH &amp; TENENTS ONLY EXP SHARE"/>
      <sheetName val="Chart"/>
    </sheetNames>
    <sheetDataSet>
      <sheetData sheetId="0"/>
      <sheetData sheetId="1">
        <row r="45">
          <cell r="B45" t="str">
            <v>Total Block Repairs &amp; Maintenance Cost</v>
          </cell>
        </row>
        <row r="63">
          <cell r="B63" t="str">
            <v>Total Staff Cost</v>
          </cell>
        </row>
        <row r="101">
          <cell r="B101" t="str">
            <v>Total Management &amp; Service Costs</v>
          </cell>
        </row>
        <row r="115">
          <cell r="B115" t="str">
            <v>Tenant (Only Repairs)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E"/>
      <sheetName val="LHA"/>
      <sheetName val="TENANTS"/>
      <sheetName val="TB23"/>
      <sheetName val="TB22"/>
      <sheetName val="TB21"/>
      <sheetName val="Payroll24"/>
      <sheetName val="Payroll23"/>
      <sheetName val="CLEANING"/>
      <sheetName val="FAR"/>
      <sheetName val="WBC24"/>
      <sheetName val="WBC23"/>
      <sheetName val="WBC22"/>
      <sheetName val="21% 21"/>
    </sheetNames>
    <sheetDataSet>
      <sheetData sheetId="0"/>
      <sheetData sheetId="1">
        <row r="4">
          <cell r="C4" t="str">
            <v>LH SC Management allowance</v>
          </cell>
        </row>
        <row r="5">
          <cell r="C5" t="str">
            <v>Repair allowance</v>
          </cell>
        </row>
        <row r="6">
          <cell r="C6" t="str">
            <v>Estate cost allowance</v>
          </cell>
        </row>
        <row r="7">
          <cell r="C7" t="str">
            <v>Insurance allowance</v>
          </cell>
        </row>
      </sheetData>
      <sheetData sheetId="2">
        <row r="4">
          <cell r="C4" t="str">
            <v>Management allowance</v>
          </cell>
        </row>
        <row r="5">
          <cell r="C5" t="str">
            <v>Management allowance - non-residential only</v>
          </cell>
        </row>
        <row r="6">
          <cell r="C6" t="str">
            <v>Repairs allowance</v>
          </cell>
        </row>
        <row r="7">
          <cell r="C7" t="str">
            <v>Estate cost allowance</v>
          </cell>
        </row>
        <row r="8">
          <cell r="C8" t="str">
            <v>Insurance allowance</v>
          </cell>
        </row>
        <row r="9">
          <cell r="C9" t="str">
            <v>Administration</v>
          </cell>
        </row>
        <row r="10">
          <cell r="C10" t="str">
            <v>Client cost allowance</v>
          </cell>
        </row>
        <row r="11">
          <cell r="C11" t="str">
            <v>Void allowance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8"/>
  <sheetViews>
    <sheetView workbookViewId="0">
      <selection sqref="A1:I112"/>
    </sheetView>
  </sheetViews>
  <sheetFormatPr defaultRowHeight="14.4" x14ac:dyDescent="0.3"/>
  <cols>
    <col min="1" max="1" width="37.44140625" customWidth="1"/>
    <col min="2" max="2" width="12.33203125" customWidth="1"/>
    <col min="3" max="3" width="12.5546875" customWidth="1"/>
    <col min="4" max="4" width="10.88671875" customWidth="1"/>
    <col min="5" max="5" width="10.5546875" customWidth="1"/>
    <col min="6" max="6" width="10.88671875" customWidth="1"/>
    <col min="7" max="7" width="3.88671875" customWidth="1"/>
    <col min="8" max="8" width="44.44140625" customWidth="1"/>
  </cols>
  <sheetData>
    <row r="1" spans="1:8" ht="17.399999999999999" x14ac:dyDescent="0.3">
      <c r="A1" s="42" t="s">
        <v>0</v>
      </c>
      <c r="B1" s="1"/>
      <c r="C1" s="29" t="s">
        <v>84</v>
      </c>
      <c r="D1" s="28">
        <v>43890</v>
      </c>
    </row>
    <row r="2" spans="1:8" ht="17.399999999999999" x14ac:dyDescent="0.3">
      <c r="A2" s="42" t="s">
        <v>92</v>
      </c>
      <c r="B2" s="1"/>
      <c r="C2" s="2"/>
    </row>
    <row r="3" spans="1:8" ht="17.399999999999999" x14ac:dyDescent="0.3">
      <c r="A3" s="42"/>
      <c r="B3" s="1"/>
      <c r="C3" s="2"/>
    </row>
    <row r="4" spans="1:8" x14ac:dyDescent="0.3">
      <c r="A4" s="1"/>
      <c r="B4" s="3" t="s">
        <v>1</v>
      </c>
      <c r="C4" s="3" t="s">
        <v>1</v>
      </c>
      <c r="D4" s="30" t="s">
        <v>80</v>
      </c>
      <c r="E4" s="30" t="s">
        <v>82</v>
      </c>
      <c r="F4" s="30" t="s">
        <v>91</v>
      </c>
    </row>
    <row r="5" spans="1:8" ht="15.6" x14ac:dyDescent="0.3">
      <c r="A5" s="4" t="s">
        <v>2</v>
      </c>
      <c r="B5" s="5" t="s">
        <v>3</v>
      </c>
      <c r="C5" s="5" t="s">
        <v>4</v>
      </c>
      <c r="D5" s="33" t="s">
        <v>81</v>
      </c>
      <c r="E5" s="33" t="s">
        <v>83</v>
      </c>
      <c r="F5" s="33" t="s">
        <v>83</v>
      </c>
    </row>
    <row r="6" spans="1:8" x14ac:dyDescent="0.3">
      <c r="A6" s="6" t="s">
        <v>5</v>
      </c>
      <c r="B6" s="46">
        <v>647645.76037721324</v>
      </c>
      <c r="C6" s="46">
        <v>660345</v>
      </c>
      <c r="D6" s="46">
        <f>C6/12*G6</f>
        <v>605316.25</v>
      </c>
      <c r="E6" s="46">
        <v>605316</v>
      </c>
      <c r="F6" s="46">
        <f>E6-D6</f>
        <v>-0.25</v>
      </c>
      <c r="G6">
        <v>11</v>
      </c>
      <c r="H6" s="40"/>
    </row>
    <row r="7" spans="1:8" x14ac:dyDescent="0.3">
      <c r="A7" s="6" t="s">
        <v>6</v>
      </c>
      <c r="B7" s="46">
        <v>7388.0975000000008</v>
      </c>
      <c r="C7" s="46">
        <v>7542</v>
      </c>
      <c r="D7" s="46">
        <f t="shared" ref="D7:D8" si="0">C7/12*G7</f>
        <v>6913.5</v>
      </c>
      <c r="E7" s="46">
        <f>3898.69</f>
        <v>3898.69</v>
      </c>
      <c r="F7" s="46">
        <f t="shared" ref="F7:F12" si="1">E7-D7</f>
        <v>-3014.81</v>
      </c>
      <c r="G7">
        <f>G6</f>
        <v>11</v>
      </c>
      <c r="H7" s="40" t="s">
        <v>93</v>
      </c>
    </row>
    <row r="8" spans="1:8" x14ac:dyDescent="0.3">
      <c r="A8" s="6" t="s">
        <v>7</v>
      </c>
      <c r="B8" s="46">
        <v>0</v>
      </c>
      <c r="C8" s="46">
        <v>4442</v>
      </c>
      <c r="D8" s="46">
        <f t="shared" si="0"/>
        <v>4071.8333333333335</v>
      </c>
      <c r="E8" s="46">
        <v>1202.5999999999999</v>
      </c>
      <c r="F8" s="46">
        <f t="shared" si="1"/>
        <v>-2869.2333333333336</v>
      </c>
      <c r="G8">
        <f>G7</f>
        <v>11</v>
      </c>
      <c r="H8" s="40"/>
    </row>
    <row r="9" spans="1:8" x14ac:dyDescent="0.3">
      <c r="A9" s="48" t="s">
        <v>95</v>
      </c>
      <c r="B9" s="51"/>
      <c r="C9" s="51"/>
      <c r="D9" s="51"/>
      <c r="E9" s="51">
        <f>34523-E10</f>
        <v>9923</v>
      </c>
      <c r="F9" s="51">
        <f t="shared" si="1"/>
        <v>9923</v>
      </c>
      <c r="G9">
        <f t="shared" ref="G9:G10" si="2">G8</f>
        <v>11</v>
      </c>
      <c r="H9" s="40" t="s">
        <v>96</v>
      </c>
    </row>
    <row r="10" spans="1:8" x14ac:dyDescent="0.3">
      <c r="A10" s="48" t="s">
        <v>102</v>
      </c>
      <c r="B10" s="51"/>
      <c r="C10" s="51"/>
      <c r="D10" s="51"/>
      <c r="E10" s="51">
        <v>24600</v>
      </c>
      <c r="F10" s="51">
        <f t="shared" si="1"/>
        <v>24600</v>
      </c>
      <c r="G10">
        <f t="shared" si="2"/>
        <v>11</v>
      </c>
      <c r="H10" s="40" t="s">
        <v>96</v>
      </c>
    </row>
    <row r="11" spans="1:8" x14ac:dyDescent="0.3">
      <c r="A11" s="6" t="s">
        <v>8</v>
      </c>
      <c r="B11" s="46">
        <v>0</v>
      </c>
      <c r="C11" s="46">
        <v>0</v>
      </c>
      <c r="D11" s="46">
        <f t="shared" ref="D11" si="3">C11/12*G11</f>
        <v>0</v>
      </c>
      <c r="E11" s="46">
        <f>1567.26+51.89+0.01</f>
        <v>1619.16</v>
      </c>
      <c r="F11" s="46">
        <f t="shared" si="1"/>
        <v>1619.16</v>
      </c>
      <c r="G11">
        <f>G8</f>
        <v>11</v>
      </c>
      <c r="H11" s="40"/>
    </row>
    <row r="12" spans="1:8" x14ac:dyDescent="0.3">
      <c r="A12" s="6" t="s">
        <v>105</v>
      </c>
      <c r="B12" s="46"/>
      <c r="C12" s="46"/>
      <c r="D12" s="46"/>
      <c r="E12" s="46">
        <v>12824.17</v>
      </c>
      <c r="F12" s="46">
        <f t="shared" si="1"/>
        <v>12824.17</v>
      </c>
      <c r="G12">
        <f>G9</f>
        <v>11</v>
      </c>
      <c r="H12" s="40"/>
    </row>
    <row r="13" spans="1:8" ht="15" thickBot="1" x14ac:dyDescent="0.35">
      <c r="A13" s="7" t="s">
        <v>9</v>
      </c>
      <c r="B13" s="44">
        <f>SUM(B6:B12)</f>
        <v>655033.85787721328</v>
      </c>
      <c r="C13" s="44">
        <f>SUM(C6:C12)</f>
        <v>672329</v>
      </c>
      <c r="D13" s="44">
        <f>SUM(D6:D12)</f>
        <v>616301.58333333337</v>
      </c>
      <c r="E13" s="44">
        <f>SUM(E6:E12)</f>
        <v>659383.62</v>
      </c>
      <c r="F13" s="44">
        <f>SUM(F6:F12)</f>
        <v>43082.036666666667</v>
      </c>
    </row>
    <row r="14" spans="1:8" x14ac:dyDescent="0.3">
      <c r="A14" s="1"/>
      <c r="B14" s="1"/>
      <c r="C14" s="2"/>
    </row>
    <row r="15" spans="1:8" x14ac:dyDescent="0.3">
      <c r="A15" s="8" t="s">
        <v>10</v>
      </c>
      <c r="F15" s="30" t="s">
        <v>91</v>
      </c>
    </row>
    <row r="16" spans="1:8" x14ac:dyDescent="0.3">
      <c r="A16" s="9" t="s">
        <v>11</v>
      </c>
      <c r="B16" s="9"/>
      <c r="C16" s="10"/>
      <c r="D16" t="s">
        <v>90</v>
      </c>
      <c r="E16" t="s">
        <v>82</v>
      </c>
      <c r="F16" s="33" t="s">
        <v>83</v>
      </c>
    </row>
    <row r="17" spans="1:8" x14ac:dyDescent="0.3">
      <c r="A17" s="11" t="s">
        <v>12</v>
      </c>
      <c r="B17" s="12" t="s">
        <v>3</v>
      </c>
      <c r="C17" s="13" t="str">
        <f>C5</f>
        <v>2019-20 (£)</v>
      </c>
      <c r="D17" s="12" t="s">
        <v>4</v>
      </c>
      <c r="E17" s="12" t="s">
        <v>4</v>
      </c>
      <c r="F17" s="12" t="s">
        <v>4</v>
      </c>
    </row>
    <row r="18" spans="1:8" x14ac:dyDescent="0.3">
      <c r="A18" s="6" t="s">
        <v>13</v>
      </c>
      <c r="B18" s="46">
        <v>2238</v>
      </c>
      <c r="C18" s="46">
        <v>695.52</v>
      </c>
      <c r="D18" s="46">
        <f>C18/12*G18</f>
        <v>637.56000000000006</v>
      </c>
      <c r="E18" s="55">
        <v>1053.94</v>
      </c>
      <c r="F18" s="47">
        <f>D18-E18</f>
        <v>-416.38</v>
      </c>
      <c r="G18">
        <f>G12</f>
        <v>11</v>
      </c>
      <c r="H18" s="40"/>
    </row>
    <row r="19" spans="1:8" x14ac:dyDescent="0.3">
      <c r="A19" s="6" t="s">
        <v>14</v>
      </c>
      <c r="B19" s="46">
        <v>5073</v>
      </c>
      <c r="C19" s="46">
        <v>5596.25</v>
      </c>
      <c r="D19" s="46">
        <f t="shared" ref="D19:D47" si="4">C19/12*G19</f>
        <v>5129.8958333333339</v>
      </c>
      <c r="E19" s="55">
        <v>5669.23</v>
      </c>
      <c r="F19" s="47">
        <f t="shared" ref="F19:F47" si="5">D19-E19</f>
        <v>-539.33416666666562</v>
      </c>
      <c r="G19">
        <f>G18</f>
        <v>11</v>
      </c>
      <c r="H19" s="40"/>
    </row>
    <row r="20" spans="1:8" x14ac:dyDescent="0.3">
      <c r="A20" s="6" t="s">
        <v>15</v>
      </c>
      <c r="B20" s="46">
        <v>1991.88</v>
      </c>
      <c r="C20" s="46">
        <v>2540.9299999999998</v>
      </c>
      <c r="D20" s="46">
        <f t="shared" si="4"/>
        <v>2329.185833333333</v>
      </c>
      <c r="E20" s="55">
        <v>1133.03</v>
      </c>
      <c r="F20" s="47">
        <f t="shared" si="5"/>
        <v>1196.155833333333</v>
      </c>
      <c r="G20">
        <f t="shared" ref="G20:G45" si="6">G19</f>
        <v>11</v>
      </c>
      <c r="H20" s="40"/>
    </row>
    <row r="21" spans="1:8" x14ac:dyDescent="0.3">
      <c r="A21" s="6" t="s">
        <v>16</v>
      </c>
      <c r="B21" s="46">
        <v>7519.6600000000008</v>
      </c>
      <c r="C21" s="46">
        <v>3200</v>
      </c>
      <c r="D21" s="46">
        <f t="shared" si="4"/>
        <v>2933.3333333333335</v>
      </c>
      <c r="E21" s="55">
        <v>2401.4699999999998</v>
      </c>
      <c r="F21" s="47">
        <f t="shared" si="5"/>
        <v>531.86333333333369</v>
      </c>
      <c r="G21">
        <f t="shared" si="6"/>
        <v>11</v>
      </c>
      <c r="H21" s="40"/>
    </row>
    <row r="22" spans="1:8" x14ac:dyDescent="0.3">
      <c r="A22" s="6" t="s">
        <v>17</v>
      </c>
      <c r="B22" s="46">
        <v>1872</v>
      </c>
      <c r="C22" s="46">
        <v>2293.56</v>
      </c>
      <c r="D22" s="46">
        <f t="shared" si="4"/>
        <v>2102.4299999999998</v>
      </c>
      <c r="E22" s="55">
        <f>1404.15+19.12</f>
        <v>1423.27</v>
      </c>
      <c r="F22" s="47">
        <f t="shared" si="5"/>
        <v>679.15999999999985</v>
      </c>
      <c r="G22">
        <f t="shared" si="6"/>
        <v>11</v>
      </c>
      <c r="H22" s="40"/>
    </row>
    <row r="23" spans="1:8" x14ac:dyDescent="0.3">
      <c r="A23" s="6" t="s">
        <v>18</v>
      </c>
      <c r="B23" s="46">
        <v>2493.9334000000003</v>
      </c>
      <c r="C23" s="46">
        <v>2544.0300000000002</v>
      </c>
      <c r="D23" s="46">
        <f t="shared" si="4"/>
        <v>2332.0275000000001</v>
      </c>
      <c r="E23" s="55">
        <v>1752.83</v>
      </c>
      <c r="F23" s="47">
        <f t="shared" si="5"/>
        <v>579.19750000000022</v>
      </c>
      <c r="G23">
        <f t="shared" si="6"/>
        <v>11</v>
      </c>
      <c r="H23" s="40"/>
    </row>
    <row r="24" spans="1:8" x14ac:dyDescent="0.3">
      <c r="A24" s="6" t="s">
        <v>19</v>
      </c>
      <c r="B24" s="46">
        <v>6230</v>
      </c>
      <c r="C24" s="46">
        <v>6240</v>
      </c>
      <c r="D24" s="46">
        <f t="shared" si="4"/>
        <v>5720</v>
      </c>
      <c r="E24" s="55">
        <v>7268.34</v>
      </c>
      <c r="F24" s="47">
        <f t="shared" si="5"/>
        <v>-1548.3400000000001</v>
      </c>
      <c r="G24">
        <f t="shared" si="6"/>
        <v>11</v>
      </c>
      <c r="H24" s="40" t="s">
        <v>97</v>
      </c>
    </row>
    <row r="25" spans="1:8" x14ac:dyDescent="0.3">
      <c r="A25" s="32" t="s">
        <v>20</v>
      </c>
      <c r="B25" s="46">
        <v>0</v>
      </c>
      <c r="C25" s="46">
        <v>0</v>
      </c>
      <c r="D25" s="46">
        <f t="shared" si="4"/>
        <v>0</v>
      </c>
      <c r="E25" s="55">
        <v>0</v>
      </c>
      <c r="F25" s="47">
        <f t="shared" si="5"/>
        <v>0</v>
      </c>
      <c r="G25">
        <f t="shared" si="6"/>
        <v>11</v>
      </c>
      <c r="H25" s="40"/>
    </row>
    <row r="26" spans="1:8" x14ac:dyDescent="0.3">
      <c r="A26" s="6" t="s">
        <v>85</v>
      </c>
      <c r="B26" s="46">
        <v>0</v>
      </c>
      <c r="C26" s="46">
        <v>1552</v>
      </c>
      <c r="D26" s="46">
        <f t="shared" si="4"/>
        <v>1422.6666666666667</v>
      </c>
      <c r="E26" s="55">
        <f>643.84+247.82</f>
        <v>891.66000000000008</v>
      </c>
      <c r="F26" s="47">
        <f t="shared" si="5"/>
        <v>531.00666666666666</v>
      </c>
      <c r="G26">
        <f t="shared" si="6"/>
        <v>11</v>
      </c>
      <c r="H26" s="40"/>
    </row>
    <row r="27" spans="1:8" x14ac:dyDescent="0.3">
      <c r="A27" s="6" t="s">
        <v>86</v>
      </c>
      <c r="B27" s="46">
        <v>0</v>
      </c>
      <c r="C27" s="46">
        <v>0</v>
      </c>
      <c r="D27" s="46">
        <f t="shared" si="4"/>
        <v>0</v>
      </c>
      <c r="E27" s="55">
        <v>449.42</v>
      </c>
      <c r="F27" s="47">
        <f t="shared" si="5"/>
        <v>-449.42</v>
      </c>
      <c r="G27">
        <f t="shared" si="6"/>
        <v>11</v>
      </c>
      <c r="H27" s="40"/>
    </row>
    <row r="28" spans="1:8" x14ac:dyDescent="0.3">
      <c r="A28" s="6" t="s">
        <v>87</v>
      </c>
      <c r="B28" s="46">
        <v>460</v>
      </c>
      <c r="C28" s="46">
        <v>460</v>
      </c>
      <c r="D28" s="46">
        <f t="shared" si="4"/>
        <v>421.66666666666669</v>
      </c>
      <c r="E28" s="55">
        <f>339.48+113.16</f>
        <v>452.64</v>
      </c>
      <c r="F28" s="47">
        <f t="shared" si="5"/>
        <v>-30.973333333333301</v>
      </c>
      <c r="G28">
        <f t="shared" si="6"/>
        <v>11</v>
      </c>
      <c r="H28" s="40"/>
    </row>
    <row r="29" spans="1:8" x14ac:dyDescent="0.3">
      <c r="A29" s="6" t="s">
        <v>88</v>
      </c>
      <c r="B29" s="46">
        <v>920</v>
      </c>
      <c r="C29" s="46">
        <v>920</v>
      </c>
      <c r="D29" s="46">
        <f t="shared" si="4"/>
        <v>843.33333333333337</v>
      </c>
      <c r="E29" s="55">
        <f>460+230</f>
        <v>690</v>
      </c>
      <c r="F29" s="47">
        <f t="shared" si="5"/>
        <v>153.33333333333337</v>
      </c>
      <c r="G29">
        <f t="shared" si="6"/>
        <v>11</v>
      </c>
      <c r="H29" s="40"/>
    </row>
    <row r="30" spans="1:8" x14ac:dyDescent="0.3">
      <c r="A30" s="6" t="s">
        <v>21</v>
      </c>
      <c r="B30" s="46">
        <v>957</v>
      </c>
      <c r="C30" s="46">
        <v>967</v>
      </c>
      <c r="D30" s="46">
        <f t="shared" si="4"/>
        <v>886.41666666666663</v>
      </c>
      <c r="E30" s="55">
        <v>977.76</v>
      </c>
      <c r="F30" s="47">
        <f t="shared" si="5"/>
        <v>-91.343333333333362</v>
      </c>
      <c r="G30">
        <f t="shared" si="6"/>
        <v>11</v>
      </c>
      <c r="H30" s="40"/>
    </row>
    <row r="31" spans="1:8" x14ac:dyDescent="0.3">
      <c r="A31" s="6" t="s">
        <v>22</v>
      </c>
      <c r="B31" s="46">
        <v>1950</v>
      </c>
      <c r="C31" s="46">
        <v>2400</v>
      </c>
      <c r="D31" s="46">
        <f t="shared" si="4"/>
        <v>2200</v>
      </c>
      <c r="E31" s="56">
        <v>3002.39</v>
      </c>
      <c r="F31" s="47">
        <f t="shared" si="5"/>
        <v>-802.38999999999987</v>
      </c>
      <c r="G31">
        <f t="shared" si="6"/>
        <v>11</v>
      </c>
      <c r="H31" s="40"/>
    </row>
    <row r="32" spans="1:8" x14ac:dyDescent="0.3">
      <c r="A32" s="6" t="s">
        <v>23</v>
      </c>
      <c r="B32" s="46">
        <v>3912.86</v>
      </c>
      <c r="C32" s="46">
        <v>3829.5</v>
      </c>
      <c r="D32" s="46">
        <f t="shared" si="4"/>
        <v>3510.375</v>
      </c>
      <c r="E32" s="56">
        <v>2864.24</v>
      </c>
      <c r="F32" s="47">
        <f t="shared" si="5"/>
        <v>646.13500000000022</v>
      </c>
      <c r="G32">
        <f t="shared" si="6"/>
        <v>11</v>
      </c>
      <c r="H32" s="40"/>
    </row>
    <row r="33" spans="1:8" x14ac:dyDescent="0.3">
      <c r="A33" s="6" t="s">
        <v>24</v>
      </c>
      <c r="B33" s="46">
        <v>1085.4545454545455</v>
      </c>
      <c r="C33" s="46">
        <v>2628.9</v>
      </c>
      <c r="D33" s="46">
        <f t="shared" si="4"/>
        <v>2409.8250000000003</v>
      </c>
      <c r="E33" s="56">
        <v>604.28</v>
      </c>
      <c r="F33" s="47">
        <f t="shared" si="5"/>
        <v>1805.5450000000003</v>
      </c>
      <c r="G33">
        <f t="shared" si="6"/>
        <v>11</v>
      </c>
      <c r="H33" s="40"/>
    </row>
    <row r="34" spans="1:8" x14ac:dyDescent="0.3">
      <c r="A34" s="6" t="s">
        <v>25</v>
      </c>
      <c r="B34" s="46">
        <v>100</v>
      </c>
      <c r="C34" s="46">
        <v>150</v>
      </c>
      <c r="D34" s="46">
        <f t="shared" si="4"/>
        <v>137.5</v>
      </c>
      <c r="E34" s="55">
        <v>0</v>
      </c>
      <c r="F34" s="47">
        <f t="shared" si="5"/>
        <v>137.5</v>
      </c>
      <c r="G34">
        <f t="shared" si="6"/>
        <v>11</v>
      </c>
      <c r="H34" s="40"/>
    </row>
    <row r="35" spans="1:8" x14ac:dyDescent="0.3">
      <c r="A35" s="6" t="s">
        <v>26</v>
      </c>
      <c r="B35" s="46">
        <v>4500</v>
      </c>
      <c r="C35" s="46">
        <v>4972</v>
      </c>
      <c r="D35" s="46">
        <f t="shared" si="4"/>
        <v>4557.6666666666661</v>
      </c>
      <c r="E35" s="55">
        <v>4692.24</v>
      </c>
      <c r="F35" s="47">
        <f t="shared" si="5"/>
        <v>-134.57333333333372</v>
      </c>
      <c r="G35">
        <f t="shared" si="6"/>
        <v>11</v>
      </c>
      <c r="H35" s="40"/>
    </row>
    <row r="36" spans="1:8" x14ac:dyDescent="0.3">
      <c r="A36" s="6" t="s">
        <v>27</v>
      </c>
      <c r="B36" s="46">
        <v>0</v>
      </c>
      <c r="C36" s="46">
        <v>0</v>
      </c>
      <c r="D36" s="46">
        <f t="shared" si="4"/>
        <v>0</v>
      </c>
      <c r="E36" s="55">
        <v>204.63</v>
      </c>
      <c r="F36" s="47">
        <f t="shared" si="5"/>
        <v>-204.63</v>
      </c>
      <c r="G36">
        <f t="shared" si="6"/>
        <v>11</v>
      </c>
      <c r="H36" s="40"/>
    </row>
    <row r="37" spans="1:8" x14ac:dyDescent="0.3">
      <c r="A37" s="6" t="s">
        <v>28</v>
      </c>
      <c r="B37" s="46">
        <v>32</v>
      </c>
      <c r="C37" s="46">
        <v>236</v>
      </c>
      <c r="D37" s="46">
        <f t="shared" si="4"/>
        <v>216.33333333333334</v>
      </c>
      <c r="E37" s="55">
        <v>192.14</v>
      </c>
      <c r="F37" s="47">
        <f t="shared" si="5"/>
        <v>24.193333333333356</v>
      </c>
      <c r="G37">
        <f t="shared" si="6"/>
        <v>11</v>
      </c>
      <c r="H37" s="40"/>
    </row>
    <row r="38" spans="1:8" x14ac:dyDescent="0.3">
      <c r="A38" s="6" t="s">
        <v>29</v>
      </c>
      <c r="B38" s="46">
        <v>180</v>
      </c>
      <c r="C38" s="46">
        <v>180</v>
      </c>
      <c r="D38" s="46">
        <f t="shared" si="4"/>
        <v>165</v>
      </c>
      <c r="E38" s="55">
        <v>0</v>
      </c>
      <c r="F38" s="47">
        <f t="shared" si="5"/>
        <v>165</v>
      </c>
      <c r="G38">
        <f t="shared" si="6"/>
        <v>11</v>
      </c>
      <c r="H38" s="40"/>
    </row>
    <row r="39" spans="1:8" x14ac:dyDescent="0.3">
      <c r="A39" s="6" t="s">
        <v>30</v>
      </c>
      <c r="B39" s="46"/>
      <c r="C39" s="46"/>
      <c r="D39" s="46">
        <f t="shared" si="4"/>
        <v>0</v>
      </c>
      <c r="E39" s="55">
        <v>0</v>
      </c>
      <c r="F39" s="47">
        <f t="shared" si="5"/>
        <v>0</v>
      </c>
      <c r="G39">
        <f t="shared" si="6"/>
        <v>11</v>
      </c>
      <c r="H39" s="40"/>
    </row>
    <row r="40" spans="1:8" x14ac:dyDescent="0.3">
      <c r="A40" s="6" t="s">
        <v>31</v>
      </c>
      <c r="B40" s="46">
        <v>3450</v>
      </c>
      <c r="C40" s="46">
        <v>3650</v>
      </c>
      <c r="D40" s="46">
        <f t="shared" si="4"/>
        <v>3345.8333333333335</v>
      </c>
      <c r="E40" s="55">
        <v>0</v>
      </c>
      <c r="F40" s="47">
        <f t="shared" si="5"/>
        <v>3345.8333333333335</v>
      </c>
      <c r="G40">
        <f t="shared" si="6"/>
        <v>11</v>
      </c>
      <c r="H40" s="40"/>
    </row>
    <row r="41" spans="1:8" x14ac:dyDescent="0.3">
      <c r="A41" s="6" t="s">
        <v>32</v>
      </c>
      <c r="B41" s="46">
        <v>27468.277200000004</v>
      </c>
      <c r="C41" s="46">
        <v>27664</v>
      </c>
      <c r="D41" s="46">
        <f t="shared" si="4"/>
        <v>25358.666666666668</v>
      </c>
      <c r="E41" s="55">
        <v>15062.1</v>
      </c>
      <c r="F41" s="47">
        <f t="shared" si="5"/>
        <v>10296.566666666668</v>
      </c>
      <c r="G41">
        <f t="shared" si="6"/>
        <v>11</v>
      </c>
      <c r="H41" s="40" t="s">
        <v>106</v>
      </c>
    </row>
    <row r="42" spans="1:8" x14ac:dyDescent="0.3">
      <c r="A42" s="6" t="s">
        <v>33</v>
      </c>
      <c r="B42" s="46">
        <v>240</v>
      </c>
      <c r="C42" s="46">
        <v>435</v>
      </c>
      <c r="D42" s="46">
        <f t="shared" si="4"/>
        <v>398.75</v>
      </c>
      <c r="E42" s="55">
        <v>280.76</v>
      </c>
      <c r="F42" s="47">
        <f t="shared" si="5"/>
        <v>117.99000000000001</v>
      </c>
      <c r="G42">
        <f t="shared" si="6"/>
        <v>11</v>
      </c>
      <c r="H42" s="40"/>
    </row>
    <row r="43" spans="1:8" x14ac:dyDescent="0.3">
      <c r="A43" s="6" t="s">
        <v>34</v>
      </c>
      <c r="B43" s="46">
        <v>300</v>
      </c>
      <c r="C43" s="46">
        <v>120</v>
      </c>
      <c r="D43" s="46">
        <f t="shared" si="4"/>
        <v>110</v>
      </c>
      <c r="E43" s="55">
        <v>0</v>
      </c>
      <c r="F43" s="47">
        <f t="shared" si="5"/>
        <v>110</v>
      </c>
      <c r="G43">
        <f t="shared" si="6"/>
        <v>11</v>
      </c>
      <c r="H43" s="40"/>
    </row>
    <row r="44" spans="1:8" x14ac:dyDescent="0.3">
      <c r="A44" s="6" t="s">
        <v>35</v>
      </c>
      <c r="B44" s="46">
        <v>831.12</v>
      </c>
      <c r="C44" s="46">
        <v>807</v>
      </c>
      <c r="D44" s="46">
        <f t="shared" si="4"/>
        <v>739.75</v>
      </c>
      <c r="E44" s="55">
        <v>365.32</v>
      </c>
      <c r="F44" s="47">
        <f t="shared" si="5"/>
        <v>374.43</v>
      </c>
      <c r="G44">
        <f t="shared" si="6"/>
        <v>11</v>
      </c>
      <c r="H44" s="40"/>
    </row>
    <row r="45" spans="1:8" x14ac:dyDescent="0.3">
      <c r="A45" s="6" t="s">
        <v>36</v>
      </c>
      <c r="B45" s="46">
        <v>0</v>
      </c>
      <c r="C45" s="46">
        <v>0</v>
      </c>
      <c r="D45" s="46">
        <f t="shared" si="4"/>
        <v>0</v>
      </c>
      <c r="E45" s="55">
        <v>462.92</v>
      </c>
      <c r="F45" s="47">
        <f t="shared" si="5"/>
        <v>-462.92</v>
      </c>
      <c r="G45">
        <f t="shared" si="6"/>
        <v>11</v>
      </c>
      <c r="H45" s="40"/>
    </row>
    <row r="46" spans="1:8" x14ac:dyDescent="0.3">
      <c r="A46" s="6" t="s">
        <v>37</v>
      </c>
      <c r="B46" s="46">
        <v>600</v>
      </c>
      <c r="C46" s="46">
        <v>1900</v>
      </c>
      <c r="D46" s="46">
        <f t="shared" si="4"/>
        <v>1741.6666666666667</v>
      </c>
      <c r="E46" s="55">
        <v>1779</v>
      </c>
      <c r="F46" s="47">
        <f t="shared" si="5"/>
        <v>-37.333333333333258</v>
      </c>
      <c r="G46">
        <f>G44</f>
        <v>11</v>
      </c>
      <c r="H46" s="40"/>
    </row>
    <row r="47" spans="1:8" x14ac:dyDescent="0.3">
      <c r="A47" s="6" t="s">
        <v>99</v>
      </c>
      <c r="B47" s="46">
        <v>0</v>
      </c>
      <c r="C47" s="46">
        <v>0</v>
      </c>
      <c r="D47" s="46">
        <f t="shared" si="4"/>
        <v>0</v>
      </c>
      <c r="E47" s="55">
        <v>454.48</v>
      </c>
      <c r="F47" s="47">
        <f t="shared" si="5"/>
        <v>-454.48</v>
      </c>
      <c r="G47">
        <f>G45</f>
        <v>11</v>
      </c>
      <c r="H47" s="40" t="s">
        <v>100</v>
      </c>
    </row>
    <row r="48" spans="1:8" ht="15" thickBot="1" x14ac:dyDescent="0.35">
      <c r="A48" s="14" t="s">
        <v>38</v>
      </c>
      <c r="B48" s="45">
        <f>SUM(B18:B47)</f>
        <v>74405.185145454539</v>
      </c>
      <c r="C48" s="45">
        <f>SUM(C18:C47)</f>
        <v>75981.69</v>
      </c>
      <c r="D48" s="45">
        <f>SUM(D18:D47)</f>
        <v>69649.882500000007</v>
      </c>
      <c r="E48" s="45">
        <f>SUM(E18:E47)</f>
        <v>54128.089999999989</v>
      </c>
      <c r="F48" s="45">
        <f>SUM(F18:F47)</f>
        <v>15521.7925</v>
      </c>
    </row>
    <row r="49" spans="1:8" x14ac:dyDescent="0.3">
      <c r="A49" s="1"/>
      <c r="B49" s="1"/>
      <c r="C49" s="15"/>
      <c r="F49" s="30" t="s">
        <v>91</v>
      </c>
    </row>
    <row r="50" spans="1:8" x14ac:dyDescent="0.3">
      <c r="A50" s="16" t="s">
        <v>39</v>
      </c>
      <c r="B50" s="12" t="s">
        <v>3</v>
      </c>
      <c r="C50" s="12" t="str">
        <f>C5</f>
        <v>2019-20 (£)</v>
      </c>
      <c r="D50" s="12" t="s">
        <v>4</v>
      </c>
      <c r="E50" s="12" t="s">
        <v>4</v>
      </c>
      <c r="F50" s="33" t="s">
        <v>83</v>
      </c>
    </row>
    <row r="51" spans="1:8" x14ac:dyDescent="0.3">
      <c r="A51" s="6" t="s">
        <v>40</v>
      </c>
      <c r="B51" s="34">
        <v>108851.08000000002</v>
      </c>
      <c r="C51" s="34">
        <v>111087</v>
      </c>
      <c r="D51" s="35">
        <f>C51/12*9</f>
        <v>83315.25</v>
      </c>
      <c r="E51" s="57">
        <v>96802.55</v>
      </c>
      <c r="F51" s="35">
        <f>D51-E51</f>
        <v>-13487.300000000003</v>
      </c>
      <c r="G51" s="31">
        <f>G47</f>
        <v>11</v>
      </c>
      <c r="H51" s="41"/>
    </row>
    <row r="52" spans="1:8" x14ac:dyDescent="0.3">
      <c r="A52" s="6" t="s">
        <v>41</v>
      </c>
      <c r="B52" s="34">
        <v>15021.449040000005</v>
      </c>
      <c r="C52" s="34">
        <v>15330</v>
      </c>
      <c r="D52" s="35">
        <f t="shared" ref="D52:D57" si="7">C52/12*9</f>
        <v>11497.5</v>
      </c>
      <c r="E52" s="57">
        <v>6167.92</v>
      </c>
      <c r="F52" s="35">
        <f t="shared" ref="F52:F57" si="8">D52-E52</f>
        <v>5329.58</v>
      </c>
      <c r="G52" s="31">
        <f>G51</f>
        <v>11</v>
      </c>
      <c r="H52" s="43" t="s">
        <v>94</v>
      </c>
    </row>
    <row r="53" spans="1:8" x14ac:dyDescent="0.3">
      <c r="A53" s="6" t="s">
        <v>42</v>
      </c>
      <c r="B53" s="34">
        <v>11400.641279999996</v>
      </c>
      <c r="C53" s="34">
        <v>14876.5</v>
      </c>
      <c r="D53" s="35">
        <f t="shared" si="7"/>
        <v>11157.375</v>
      </c>
      <c r="E53" s="57">
        <v>12456.05</v>
      </c>
      <c r="F53" s="35">
        <f t="shared" si="8"/>
        <v>-1298.6749999999993</v>
      </c>
      <c r="G53" s="31">
        <f t="shared" ref="G53:G57" si="9">G52</f>
        <v>11</v>
      </c>
      <c r="H53" s="41"/>
    </row>
    <row r="54" spans="1:8" x14ac:dyDescent="0.3">
      <c r="A54" s="6" t="s">
        <v>43</v>
      </c>
      <c r="B54" s="34">
        <v>14579.96</v>
      </c>
      <c r="C54" s="34">
        <v>15516.5</v>
      </c>
      <c r="D54" s="35">
        <f t="shared" si="7"/>
        <v>11637.375</v>
      </c>
      <c r="E54" s="57">
        <v>14437.01</v>
      </c>
      <c r="F54" s="35">
        <f t="shared" si="8"/>
        <v>-2799.6350000000002</v>
      </c>
      <c r="G54" s="31">
        <f t="shared" si="9"/>
        <v>11</v>
      </c>
      <c r="H54" s="41"/>
    </row>
    <row r="55" spans="1:8" x14ac:dyDescent="0.3">
      <c r="A55" s="6" t="s">
        <v>44</v>
      </c>
      <c r="B55" s="34">
        <v>1500</v>
      </c>
      <c r="C55" s="34">
        <v>600</v>
      </c>
      <c r="D55" s="35">
        <f t="shared" si="7"/>
        <v>450</v>
      </c>
      <c r="E55" s="57">
        <v>446</v>
      </c>
      <c r="F55" s="35">
        <f t="shared" si="8"/>
        <v>4</v>
      </c>
      <c r="G55" s="31">
        <f t="shared" si="9"/>
        <v>11</v>
      </c>
      <c r="H55" s="41"/>
    </row>
    <row r="56" spans="1:8" x14ac:dyDescent="0.3">
      <c r="A56" s="6" t="s">
        <v>89</v>
      </c>
      <c r="B56" s="34">
        <v>0</v>
      </c>
      <c r="C56" s="34">
        <v>0</v>
      </c>
      <c r="D56" s="35">
        <f t="shared" si="7"/>
        <v>0</v>
      </c>
      <c r="E56" s="57">
        <v>500</v>
      </c>
      <c r="F56" s="35">
        <f t="shared" si="8"/>
        <v>-500</v>
      </c>
      <c r="G56" s="31">
        <f t="shared" si="9"/>
        <v>11</v>
      </c>
      <c r="H56" s="41"/>
    </row>
    <row r="57" spans="1:8" x14ac:dyDescent="0.3">
      <c r="A57" s="6" t="s">
        <v>45</v>
      </c>
      <c r="B57" s="34">
        <v>60</v>
      </c>
      <c r="C57" s="34">
        <v>30</v>
      </c>
      <c r="D57" s="35">
        <f t="shared" si="7"/>
        <v>22.5</v>
      </c>
      <c r="E57" s="35">
        <v>0</v>
      </c>
      <c r="F57" s="35">
        <f t="shared" si="8"/>
        <v>22.5</v>
      </c>
      <c r="G57" s="31">
        <f t="shared" si="9"/>
        <v>11</v>
      </c>
      <c r="H57" s="41"/>
    </row>
    <row r="58" spans="1:8" ht="15" thickBot="1" x14ac:dyDescent="0.35">
      <c r="A58" s="14" t="s">
        <v>38</v>
      </c>
      <c r="B58" s="36">
        <f>SUM(B51:B57)</f>
        <v>151413.13032000003</v>
      </c>
      <c r="C58" s="36">
        <f>SUM(C51:C57)</f>
        <v>157440</v>
      </c>
      <c r="D58" s="36">
        <f t="shared" ref="D58:F58" si="10">SUM(D51:D57)</f>
        <v>118080</v>
      </c>
      <c r="E58" s="36">
        <f t="shared" si="10"/>
        <v>130809.53</v>
      </c>
      <c r="F58" s="36">
        <f t="shared" si="10"/>
        <v>-12729.530000000002</v>
      </c>
      <c r="G58" s="31"/>
    </row>
    <row r="59" spans="1:8" x14ac:dyDescent="0.3">
      <c r="A59" s="1"/>
      <c r="B59" s="1"/>
      <c r="C59" s="17"/>
      <c r="D59" s="31"/>
      <c r="E59" s="31"/>
      <c r="F59" s="30" t="s">
        <v>91</v>
      </c>
      <c r="G59" s="31"/>
    </row>
    <row r="60" spans="1:8" x14ac:dyDescent="0.3">
      <c r="A60" s="16" t="s">
        <v>46</v>
      </c>
      <c r="B60" s="12" t="s">
        <v>3</v>
      </c>
      <c r="C60" s="13" t="str">
        <f>C5</f>
        <v>2019-20 (£)</v>
      </c>
      <c r="D60" s="12" t="s">
        <v>4</v>
      </c>
      <c r="E60" s="12" t="s">
        <v>4</v>
      </c>
      <c r="F60" s="33" t="s">
        <v>83</v>
      </c>
      <c r="G60" s="31"/>
    </row>
    <row r="61" spans="1:8" x14ac:dyDescent="0.3">
      <c r="A61" s="6" t="s">
        <v>47</v>
      </c>
      <c r="B61" s="34">
        <v>0</v>
      </c>
      <c r="C61" s="34">
        <v>0</v>
      </c>
      <c r="D61" s="35">
        <f>C61/12*G61</f>
        <v>0</v>
      </c>
      <c r="E61" s="35">
        <v>0</v>
      </c>
      <c r="F61" s="35">
        <f>D61-E61</f>
        <v>0</v>
      </c>
      <c r="G61" s="31">
        <f>G57</f>
        <v>11</v>
      </c>
      <c r="H61" s="40"/>
    </row>
    <row r="62" spans="1:8" x14ac:dyDescent="0.3">
      <c r="A62" s="6" t="s">
        <v>48</v>
      </c>
      <c r="B62" s="34">
        <v>360</v>
      </c>
      <c r="C62" s="34">
        <v>260</v>
      </c>
      <c r="D62" s="35">
        <f t="shared" ref="D62:D68" si="11">C62/12*G62</f>
        <v>238.33333333333334</v>
      </c>
      <c r="E62" s="57">
        <v>297.77999999999997</v>
      </c>
      <c r="F62" s="35">
        <f t="shared" ref="F62:F68" si="12">D62-E62</f>
        <v>-59.44666666666663</v>
      </c>
      <c r="G62" s="31">
        <f>G61</f>
        <v>11</v>
      </c>
      <c r="H62" s="40"/>
    </row>
    <row r="63" spans="1:8" x14ac:dyDescent="0.3">
      <c r="A63" s="6" t="s">
        <v>49</v>
      </c>
      <c r="B63" s="34">
        <v>360</v>
      </c>
      <c r="C63" s="34">
        <v>120</v>
      </c>
      <c r="D63" s="35">
        <f t="shared" si="11"/>
        <v>110</v>
      </c>
      <c r="E63" s="57">
        <v>0</v>
      </c>
      <c r="F63" s="35">
        <f t="shared" si="12"/>
        <v>110</v>
      </c>
      <c r="G63" s="31">
        <f t="shared" ref="G63:G68" si="13">G62</f>
        <v>11</v>
      </c>
      <c r="H63" s="40"/>
    </row>
    <row r="64" spans="1:8" x14ac:dyDescent="0.3">
      <c r="A64" s="6" t="s">
        <v>50</v>
      </c>
      <c r="B64" s="34">
        <v>0</v>
      </c>
      <c r="C64" s="34">
        <v>60</v>
      </c>
      <c r="D64" s="35">
        <f t="shared" si="11"/>
        <v>55</v>
      </c>
      <c r="E64" s="57">
        <v>0</v>
      </c>
      <c r="F64" s="35">
        <f t="shared" si="12"/>
        <v>55</v>
      </c>
      <c r="G64" s="31">
        <f t="shared" si="13"/>
        <v>11</v>
      </c>
      <c r="H64" s="40"/>
    </row>
    <row r="65" spans="1:8" x14ac:dyDescent="0.3">
      <c r="A65" s="6" t="s">
        <v>51</v>
      </c>
      <c r="B65" s="34">
        <v>2000</v>
      </c>
      <c r="C65" s="34">
        <v>1800</v>
      </c>
      <c r="D65" s="35">
        <f t="shared" si="11"/>
        <v>1650</v>
      </c>
      <c r="E65" s="57">
        <v>1170</v>
      </c>
      <c r="F65" s="35">
        <f t="shared" si="12"/>
        <v>480</v>
      </c>
      <c r="G65" s="31">
        <f t="shared" si="13"/>
        <v>11</v>
      </c>
      <c r="H65" s="40"/>
    </row>
    <row r="66" spans="1:8" x14ac:dyDescent="0.3">
      <c r="A66" s="6" t="s">
        <v>52</v>
      </c>
      <c r="B66" s="34">
        <v>140</v>
      </c>
      <c r="C66" s="34">
        <v>120</v>
      </c>
      <c r="D66" s="35">
        <f t="shared" si="11"/>
        <v>110</v>
      </c>
      <c r="E66" s="57">
        <v>90.78</v>
      </c>
      <c r="F66" s="35">
        <f t="shared" si="12"/>
        <v>19.22</v>
      </c>
      <c r="G66" s="31">
        <f t="shared" si="13"/>
        <v>11</v>
      </c>
      <c r="H66" s="40"/>
    </row>
    <row r="67" spans="1:8" x14ac:dyDescent="0.3">
      <c r="A67" s="6" t="s">
        <v>103</v>
      </c>
      <c r="B67" s="34">
        <v>0</v>
      </c>
      <c r="C67" s="34">
        <v>0</v>
      </c>
      <c r="D67" s="35">
        <f t="shared" si="11"/>
        <v>0</v>
      </c>
      <c r="E67" s="57">
        <v>3657.83</v>
      </c>
      <c r="F67" s="35">
        <f t="shared" si="12"/>
        <v>-3657.83</v>
      </c>
      <c r="G67" s="31">
        <f t="shared" si="13"/>
        <v>11</v>
      </c>
      <c r="H67" s="40"/>
    </row>
    <row r="68" spans="1:8" x14ac:dyDescent="0.3">
      <c r="A68" s="6" t="s">
        <v>104</v>
      </c>
      <c r="B68" s="34">
        <v>0</v>
      </c>
      <c r="C68" s="34">
        <v>0</v>
      </c>
      <c r="D68" s="35">
        <f t="shared" si="11"/>
        <v>0</v>
      </c>
      <c r="E68" s="57">
        <v>1574.51</v>
      </c>
      <c r="F68" s="35">
        <f t="shared" si="12"/>
        <v>-1574.51</v>
      </c>
      <c r="G68" s="31">
        <f t="shared" si="13"/>
        <v>11</v>
      </c>
      <c r="H68" s="40"/>
    </row>
    <row r="69" spans="1:8" ht="15" thickBot="1" x14ac:dyDescent="0.35">
      <c r="A69" s="14" t="s">
        <v>38</v>
      </c>
      <c r="B69" s="36">
        <f>SUM(B61:B68)</f>
        <v>2860</v>
      </c>
      <c r="C69" s="36">
        <f>SUM(C61:C68)</f>
        <v>2360</v>
      </c>
      <c r="D69" s="36">
        <f t="shared" ref="D69:F69" si="14">SUM(D61:D68)</f>
        <v>2163.3333333333335</v>
      </c>
      <c r="E69" s="36">
        <f t="shared" si="14"/>
        <v>6790.9</v>
      </c>
      <c r="F69" s="36">
        <f t="shared" si="14"/>
        <v>-4627.5666666666666</v>
      </c>
      <c r="G69" s="31"/>
    </row>
    <row r="70" spans="1:8" x14ac:dyDescent="0.3">
      <c r="A70" s="18"/>
      <c r="B70" s="18"/>
      <c r="C70" s="19"/>
      <c r="D70" s="31"/>
      <c r="E70" s="31"/>
      <c r="F70" s="30" t="s">
        <v>91</v>
      </c>
      <c r="G70" s="31"/>
    </row>
    <row r="71" spans="1:8" x14ac:dyDescent="0.3">
      <c r="A71" s="16" t="s">
        <v>53</v>
      </c>
      <c r="B71" s="12" t="s">
        <v>3</v>
      </c>
      <c r="C71" s="13" t="str">
        <f>C5</f>
        <v>2019-20 (£)</v>
      </c>
      <c r="D71" s="12" t="s">
        <v>4</v>
      </c>
      <c r="E71" s="12" t="s">
        <v>4</v>
      </c>
      <c r="F71" s="33" t="s">
        <v>83</v>
      </c>
      <c r="G71" s="31"/>
    </row>
    <row r="72" spans="1:8" x14ac:dyDescent="0.3">
      <c r="A72" s="6" t="s">
        <v>54</v>
      </c>
      <c r="B72" s="34">
        <v>45000</v>
      </c>
      <c r="C72" s="34">
        <v>35000</v>
      </c>
      <c r="D72" s="35">
        <f>C72/12*G72</f>
        <v>32083.333333333332</v>
      </c>
      <c r="E72" s="57">
        <v>31806.69</v>
      </c>
      <c r="F72" s="35">
        <f>D72-E72</f>
        <v>276.64333333333343</v>
      </c>
      <c r="G72" s="31">
        <f>G68</f>
        <v>11</v>
      </c>
      <c r="H72" s="40"/>
    </row>
    <row r="73" spans="1:8" x14ac:dyDescent="0.3">
      <c r="A73" s="6" t="s">
        <v>55</v>
      </c>
      <c r="B73" s="34">
        <v>43636.36363636364</v>
      </c>
      <c r="C73" s="34">
        <v>47300</v>
      </c>
      <c r="D73" s="35">
        <f t="shared" ref="D73:D80" si="15">C73/12*G73</f>
        <v>43358.333333333328</v>
      </c>
      <c r="E73" s="57">
        <v>42136.12</v>
      </c>
      <c r="F73" s="35">
        <f t="shared" ref="F73:F80" si="16">D73-E73</f>
        <v>1222.2133333333259</v>
      </c>
      <c r="G73" s="31">
        <f>G72</f>
        <v>11</v>
      </c>
      <c r="H73" s="40"/>
    </row>
    <row r="74" spans="1:8" x14ac:dyDescent="0.3">
      <c r="A74" s="6" t="s">
        <v>56</v>
      </c>
      <c r="B74" s="34">
        <v>755.66666666666663</v>
      </c>
      <c r="C74" s="34">
        <v>1035</v>
      </c>
      <c r="D74" s="35">
        <f t="shared" si="15"/>
        <v>948.75</v>
      </c>
      <c r="E74" s="57">
        <v>3661</v>
      </c>
      <c r="F74" s="35">
        <f t="shared" si="16"/>
        <v>-2712.25</v>
      </c>
      <c r="G74" s="31">
        <f t="shared" ref="G74:G80" si="17">G73</f>
        <v>11</v>
      </c>
      <c r="H74" s="40"/>
    </row>
    <row r="75" spans="1:8" x14ac:dyDescent="0.3">
      <c r="A75" s="6" t="s">
        <v>57</v>
      </c>
      <c r="B75" s="34">
        <v>0</v>
      </c>
      <c r="C75" s="34">
        <v>0</v>
      </c>
      <c r="D75" s="35">
        <f t="shared" si="15"/>
        <v>0</v>
      </c>
      <c r="E75" s="57">
        <v>0</v>
      </c>
      <c r="F75" s="35">
        <f t="shared" si="16"/>
        <v>0</v>
      </c>
      <c r="G75" s="31">
        <f t="shared" si="17"/>
        <v>11</v>
      </c>
      <c r="H75" s="40"/>
    </row>
    <row r="76" spans="1:8" x14ac:dyDescent="0.3">
      <c r="A76" s="6" t="s">
        <v>58</v>
      </c>
      <c r="B76" s="34">
        <v>8727.2727272727279</v>
      </c>
      <c r="C76" s="34">
        <v>12109.8</v>
      </c>
      <c r="D76" s="35">
        <f t="shared" si="15"/>
        <v>11100.65</v>
      </c>
      <c r="E76" s="57">
        <v>4694.58</v>
      </c>
      <c r="F76" s="35">
        <f t="shared" si="16"/>
        <v>6406.07</v>
      </c>
      <c r="G76" s="31">
        <f t="shared" si="17"/>
        <v>11</v>
      </c>
      <c r="H76" s="40"/>
    </row>
    <row r="77" spans="1:8" x14ac:dyDescent="0.3">
      <c r="A77" s="6" t="s">
        <v>98</v>
      </c>
      <c r="B77" s="34">
        <v>0</v>
      </c>
      <c r="C77" s="34">
        <v>0</v>
      </c>
      <c r="D77" s="35">
        <f t="shared" si="15"/>
        <v>0</v>
      </c>
      <c r="E77" s="57">
        <v>2227.79</v>
      </c>
      <c r="F77" s="35">
        <f t="shared" si="16"/>
        <v>-2227.79</v>
      </c>
      <c r="G77" s="31">
        <f t="shared" si="17"/>
        <v>11</v>
      </c>
      <c r="H77" s="40"/>
    </row>
    <row r="78" spans="1:8" x14ac:dyDescent="0.3">
      <c r="A78" s="48" t="s">
        <v>59</v>
      </c>
      <c r="B78" s="49">
        <v>0</v>
      </c>
      <c r="C78" s="49">
        <v>0</v>
      </c>
      <c r="D78" s="50">
        <f t="shared" si="15"/>
        <v>0</v>
      </c>
      <c r="E78" s="58">
        <f>34523-E79</f>
        <v>9923</v>
      </c>
      <c r="F78" s="50">
        <f t="shared" si="16"/>
        <v>-9923</v>
      </c>
      <c r="G78" s="31">
        <f t="shared" si="17"/>
        <v>11</v>
      </c>
      <c r="H78" s="40" t="s">
        <v>107</v>
      </c>
    </row>
    <row r="79" spans="1:8" x14ac:dyDescent="0.3">
      <c r="A79" s="48" t="s">
        <v>101</v>
      </c>
      <c r="B79" s="49">
        <v>0</v>
      </c>
      <c r="C79" s="49">
        <v>0</v>
      </c>
      <c r="D79" s="50">
        <v>0</v>
      </c>
      <c r="E79" s="58">
        <v>24600</v>
      </c>
      <c r="F79" s="53">
        <f t="shared" si="16"/>
        <v>-24600</v>
      </c>
      <c r="G79" s="31">
        <f>G78</f>
        <v>11</v>
      </c>
      <c r="H79" s="40" t="s">
        <v>107</v>
      </c>
    </row>
    <row r="80" spans="1:8" x14ac:dyDescent="0.3">
      <c r="A80" s="6" t="s">
        <v>60</v>
      </c>
      <c r="B80" s="34">
        <v>82</v>
      </c>
      <c r="C80" s="34">
        <v>264.5</v>
      </c>
      <c r="D80" s="35">
        <f t="shared" si="15"/>
        <v>242.45833333333334</v>
      </c>
      <c r="E80" s="59">
        <v>0</v>
      </c>
      <c r="F80" s="35">
        <f t="shared" si="16"/>
        <v>242.45833333333334</v>
      </c>
      <c r="G80" s="31">
        <f t="shared" si="17"/>
        <v>11</v>
      </c>
      <c r="H80" s="40"/>
    </row>
    <row r="81" spans="1:8" ht="15" thickBot="1" x14ac:dyDescent="0.35">
      <c r="A81" s="14" t="s">
        <v>38</v>
      </c>
      <c r="B81" s="36">
        <f>SUM(B72:B80)</f>
        <v>98201.303030303039</v>
      </c>
      <c r="C81" s="36">
        <f>SUM(C72:C80)</f>
        <v>95709.3</v>
      </c>
      <c r="D81" s="36">
        <f t="shared" ref="D81:F81" si="18">SUM(D72:D80)</f>
        <v>87733.52499999998</v>
      </c>
      <c r="E81" s="36">
        <f t="shared" si="18"/>
        <v>119049.18</v>
      </c>
      <c r="F81" s="36">
        <f t="shared" si="18"/>
        <v>-31315.65500000001</v>
      </c>
      <c r="G81" s="31"/>
    </row>
    <row r="82" spans="1:8" x14ac:dyDescent="0.3">
      <c r="A82" s="2"/>
      <c r="B82" s="20"/>
      <c r="C82" s="21"/>
      <c r="D82" s="31"/>
      <c r="E82" s="31"/>
      <c r="F82" s="30" t="s">
        <v>91</v>
      </c>
      <c r="G82" s="31"/>
    </row>
    <row r="83" spans="1:8" x14ac:dyDescent="0.3">
      <c r="A83" s="16" t="s">
        <v>61</v>
      </c>
      <c r="B83" s="12" t="s">
        <v>3</v>
      </c>
      <c r="C83" s="13" t="str">
        <f>C5</f>
        <v>2019-20 (£)</v>
      </c>
      <c r="D83" s="12" t="s">
        <v>4</v>
      </c>
      <c r="E83" s="12" t="s">
        <v>4</v>
      </c>
      <c r="F83" s="33" t="s">
        <v>83</v>
      </c>
      <c r="G83" s="31"/>
    </row>
    <row r="84" spans="1:8" x14ac:dyDescent="0.3">
      <c r="A84" s="6" t="s">
        <v>62</v>
      </c>
      <c r="B84" s="34">
        <v>15898</v>
      </c>
      <c r="C84" s="34">
        <v>23794</v>
      </c>
      <c r="D84" s="35">
        <f>C84/12*G84</f>
        <v>21811.166666666664</v>
      </c>
      <c r="E84" s="57">
        <v>24791.77</v>
      </c>
      <c r="F84" s="35">
        <f>D84-E84</f>
        <v>-2980.6033333333362</v>
      </c>
      <c r="G84" s="31">
        <f>G80</f>
        <v>11</v>
      </c>
      <c r="H84" s="40"/>
    </row>
    <row r="85" spans="1:8" x14ac:dyDescent="0.3">
      <c r="A85" s="6" t="s">
        <v>63</v>
      </c>
      <c r="B85" s="34">
        <v>4909.090909090909</v>
      </c>
      <c r="C85" s="34">
        <v>6249</v>
      </c>
      <c r="D85" s="35">
        <f t="shared" ref="D85:D87" si="19">C85/12*G85</f>
        <v>5728.25</v>
      </c>
      <c r="E85" s="57">
        <v>579.75</v>
      </c>
      <c r="F85" s="35">
        <f t="shared" ref="F85:F87" si="20">D85-E85</f>
        <v>5148.5</v>
      </c>
      <c r="G85" s="31">
        <f>G84</f>
        <v>11</v>
      </c>
      <c r="H85" s="40"/>
    </row>
    <row r="86" spans="1:8" x14ac:dyDescent="0.3">
      <c r="A86" s="6" t="s">
        <v>64</v>
      </c>
      <c r="B86" s="34">
        <v>1527.2727272727273</v>
      </c>
      <c r="C86" s="34">
        <v>1402.4</v>
      </c>
      <c r="D86" s="35">
        <f t="shared" si="19"/>
        <v>1285.5333333333333</v>
      </c>
      <c r="E86" s="57">
        <v>2968.36</v>
      </c>
      <c r="F86" s="35">
        <f t="shared" si="20"/>
        <v>-1682.8266666666668</v>
      </c>
      <c r="G86" s="31">
        <f t="shared" ref="G86:G87" si="21">G85</f>
        <v>11</v>
      </c>
      <c r="H86" s="40"/>
    </row>
    <row r="87" spans="1:8" x14ac:dyDescent="0.3">
      <c r="A87" s="6" t="s">
        <v>65</v>
      </c>
      <c r="B87" s="34">
        <v>720</v>
      </c>
      <c r="C87" s="34">
        <v>360</v>
      </c>
      <c r="D87" s="35">
        <f t="shared" si="19"/>
        <v>330</v>
      </c>
      <c r="E87" s="57">
        <v>68.75</v>
      </c>
      <c r="F87" s="35">
        <f t="shared" si="20"/>
        <v>261.25</v>
      </c>
      <c r="G87" s="31">
        <f t="shared" si="21"/>
        <v>11</v>
      </c>
      <c r="H87" s="40"/>
    </row>
    <row r="88" spans="1:8" ht="15" thickBot="1" x14ac:dyDescent="0.35">
      <c r="A88" s="14" t="s">
        <v>38</v>
      </c>
      <c r="B88" s="36">
        <f>SUM(B84:B87)</f>
        <v>23054.363636363636</v>
      </c>
      <c r="C88" s="36">
        <f>SUM(C84:C87)</f>
        <v>31805.4</v>
      </c>
      <c r="D88" s="36">
        <f t="shared" ref="D88:F88" si="22">SUM(D84:D87)</f>
        <v>29154.949999999997</v>
      </c>
      <c r="E88" s="36">
        <f t="shared" si="22"/>
        <v>28408.63</v>
      </c>
      <c r="F88" s="36">
        <f t="shared" si="22"/>
        <v>746.31999999999698</v>
      </c>
    </row>
    <row r="89" spans="1:8" x14ac:dyDescent="0.3">
      <c r="A89" s="1"/>
      <c r="B89" s="1"/>
      <c r="C89" s="21"/>
      <c r="F89" s="30" t="s">
        <v>91</v>
      </c>
    </row>
    <row r="90" spans="1:8" x14ac:dyDescent="0.3">
      <c r="A90" s="16" t="s">
        <v>66</v>
      </c>
      <c r="B90" s="12" t="s">
        <v>3</v>
      </c>
      <c r="C90" s="13" t="str">
        <f>C5</f>
        <v>2019-20 (£)</v>
      </c>
      <c r="D90" s="12" t="s">
        <v>4</v>
      </c>
      <c r="E90" s="12" t="s">
        <v>4</v>
      </c>
      <c r="F90" s="33" t="s">
        <v>83</v>
      </c>
    </row>
    <row r="91" spans="1:8" x14ac:dyDescent="0.3">
      <c r="A91" s="6" t="s">
        <v>67</v>
      </c>
      <c r="B91" s="34">
        <v>110885.69518600001</v>
      </c>
      <c r="C91" s="34">
        <v>118312</v>
      </c>
      <c r="D91" s="37">
        <f>C91/12*G91</f>
        <v>108452.66666666667</v>
      </c>
      <c r="E91" s="60">
        <v>116363.04</v>
      </c>
      <c r="F91" s="37">
        <f>D91-E91</f>
        <v>-7910.3733333333221</v>
      </c>
      <c r="G91" s="52">
        <f>G87</f>
        <v>11</v>
      </c>
      <c r="H91" s="40"/>
    </row>
    <row r="92" spans="1:8" x14ac:dyDescent="0.3">
      <c r="A92" s="6" t="s">
        <v>68</v>
      </c>
      <c r="B92" s="34">
        <v>2780</v>
      </c>
      <c r="C92" s="34">
        <v>3000</v>
      </c>
      <c r="D92" s="37">
        <f t="shared" ref="D92:D98" si="23">C92/12*G92</f>
        <v>2750</v>
      </c>
      <c r="E92" s="60">
        <v>2250</v>
      </c>
      <c r="F92" s="37">
        <f t="shared" ref="F92:F98" si="24">D92-E92</f>
        <v>500</v>
      </c>
      <c r="G92" s="52">
        <f>G91</f>
        <v>11</v>
      </c>
      <c r="H92" s="40"/>
    </row>
    <row r="93" spans="1:8" x14ac:dyDescent="0.3">
      <c r="A93" s="6" t="s">
        <v>69</v>
      </c>
      <c r="B93" s="34">
        <v>8162.4055087890001</v>
      </c>
      <c r="C93" s="34">
        <v>7997</v>
      </c>
      <c r="D93" s="37">
        <f t="shared" si="23"/>
        <v>7330.583333333333</v>
      </c>
      <c r="E93" s="60">
        <v>7997.1</v>
      </c>
      <c r="F93" s="37">
        <f t="shared" si="24"/>
        <v>-666.51666666666733</v>
      </c>
      <c r="G93" s="52">
        <f t="shared" ref="G93:G98" si="25">G92</f>
        <v>11</v>
      </c>
      <c r="H93" s="40"/>
    </row>
    <row r="94" spans="1:8" x14ac:dyDescent="0.3">
      <c r="A94" s="6" t="s">
        <v>70</v>
      </c>
      <c r="B94" s="34">
        <v>25932.975933479302</v>
      </c>
      <c r="C94" s="34">
        <v>26841</v>
      </c>
      <c r="D94" s="37">
        <f t="shared" si="23"/>
        <v>24604.25</v>
      </c>
      <c r="E94" s="60">
        <v>26841</v>
      </c>
      <c r="F94" s="37">
        <f t="shared" si="24"/>
        <v>-2236.75</v>
      </c>
      <c r="G94" s="52">
        <f t="shared" si="25"/>
        <v>11</v>
      </c>
      <c r="H94" s="40"/>
    </row>
    <row r="95" spans="1:8" x14ac:dyDescent="0.3">
      <c r="A95" s="6" t="s">
        <v>71</v>
      </c>
      <c r="B95" s="34"/>
      <c r="C95" s="34"/>
      <c r="D95" s="37">
        <f t="shared" si="23"/>
        <v>0</v>
      </c>
      <c r="E95" s="60">
        <v>0</v>
      </c>
      <c r="F95" s="37">
        <f t="shared" si="24"/>
        <v>0</v>
      </c>
      <c r="G95" s="52">
        <f t="shared" si="25"/>
        <v>11</v>
      </c>
      <c r="H95" s="40"/>
    </row>
    <row r="96" spans="1:8" x14ac:dyDescent="0.3">
      <c r="A96" s="6" t="s">
        <v>72</v>
      </c>
      <c r="B96" s="34">
        <v>914.5</v>
      </c>
      <c r="C96" s="34">
        <v>560</v>
      </c>
      <c r="D96" s="37">
        <f t="shared" si="23"/>
        <v>513.33333333333326</v>
      </c>
      <c r="E96" s="60">
        <v>198</v>
      </c>
      <c r="F96" s="37">
        <f t="shared" si="24"/>
        <v>315.33333333333326</v>
      </c>
      <c r="G96" s="52">
        <f t="shared" si="25"/>
        <v>11</v>
      </c>
      <c r="H96" s="40"/>
    </row>
    <row r="97" spans="1:8" x14ac:dyDescent="0.3">
      <c r="A97" s="6" t="s">
        <v>73</v>
      </c>
      <c r="B97" s="34">
        <v>20300.517574400001</v>
      </c>
      <c r="C97" s="34">
        <v>18418</v>
      </c>
      <c r="D97" s="37">
        <f t="shared" si="23"/>
        <v>16883.166666666664</v>
      </c>
      <c r="E97" s="60">
        <v>13423.4</v>
      </c>
      <c r="F97" s="37">
        <f t="shared" si="24"/>
        <v>3459.7666666666646</v>
      </c>
      <c r="G97" s="52">
        <f t="shared" si="25"/>
        <v>11</v>
      </c>
      <c r="H97" s="40"/>
    </row>
    <row r="98" spans="1:8" x14ac:dyDescent="0.3">
      <c r="A98" s="6" t="s">
        <v>74</v>
      </c>
      <c r="B98" s="34">
        <v>3000</v>
      </c>
      <c r="C98" s="34">
        <v>10898.4</v>
      </c>
      <c r="D98" s="37">
        <f t="shared" si="23"/>
        <v>9990.1999999999989</v>
      </c>
      <c r="E98" s="60">
        <v>783.5</v>
      </c>
      <c r="F98" s="37">
        <f t="shared" si="24"/>
        <v>9206.6999999999989</v>
      </c>
      <c r="G98" s="52">
        <f t="shared" si="25"/>
        <v>11</v>
      </c>
      <c r="H98" s="40"/>
    </row>
    <row r="99" spans="1:8" ht="15" thickBot="1" x14ac:dyDescent="0.35">
      <c r="A99" s="14" t="s">
        <v>38</v>
      </c>
      <c r="B99" s="36">
        <f>SUM(B91:B98)</f>
        <v>171976.09420266832</v>
      </c>
      <c r="C99" s="36">
        <f>SUM(C91:C98)</f>
        <v>186026.4</v>
      </c>
      <c r="D99" s="36">
        <f t="shared" ref="D99:F99" si="26">SUM(D91:D98)</f>
        <v>170524.2</v>
      </c>
      <c r="E99" s="36">
        <f t="shared" si="26"/>
        <v>167856.04</v>
      </c>
      <c r="F99" s="36">
        <f t="shared" si="26"/>
        <v>2668.1600000000089</v>
      </c>
    </row>
    <row r="100" spans="1:8" ht="15" thickBot="1" x14ac:dyDescent="0.35">
      <c r="A100" s="2"/>
      <c r="B100" s="2"/>
      <c r="C100" s="2"/>
    </row>
    <row r="101" spans="1:8" ht="15" thickBot="1" x14ac:dyDescent="0.35">
      <c r="A101" s="22" t="s">
        <v>75</v>
      </c>
      <c r="B101" s="23">
        <f>B48+B58+B69+B81+B88+B99</f>
        <v>521910.07633478951</v>
      </c>
      <c r="C101" s="23">
        <f>C48+C58+C69+C81+C88+C99</f>
        <v>549322.79</v>
      </c>
      <c r="D101" s="23">
        <f t="shared" ref="D101:E101" si="27">D48+D58+D69+D81+D88+D99</f>
        <v>477305.89083333337</v>
      </c>
      <c r="E101" s="23">
        <f t="shared" si="27"/>
        <v>507042.37</v>
      </c>
    </row>
    <row r="102" spans="1:8" ht="15" thickBot="1" x14ac:dyDescent="0.35">
      <c r="A102" s="2"/>
      <c r="B102" s="2"/>
      <c r="C102" s="2"/>
    </row>
    <row r="103" spans="1:8" x14ac:dyDescent="0.3">
      <c r="A103" s="24" t="s">
        <v>76</v>
      </c>
      <c r="B103" s="25"/>
      <c r="C103" s="25"/>
      <c r="D103" s="25"/>
      <c r="E103" s="25"/>
    </row>
    <row r="104" spans="1:8" x14ac:dyDescent="0.3">
      <c r="A104" s="26" t="s">
        <v>77</v>
      </c>
      <c r="B104" s="38">
        <f>B13</f>
        <v>655033.85787721328</v>
      </c>
      <c r="C104" s="38">
        <f>C13</f>
        <v>672329</v>
      </c>
      <c r="D104" s="38">
        <f>D13</f>
        <v>616301.58333333337</v>
      </c>
      <c r="E104" s="38">
        <f>E13</f>
        <v>659383.62</v>
      </c>
    </row>
    <row r="105" spans="1:8" x14ac:dyDescent="0.3">
      <c r="A105" s="26" t="s">
        <v>78</v>
      </c>
      <c r="B105" s="38">
        <f>-B101</f>
        <v>-521910.07633478951</v>
      </c>
      <c r="C105" s="38">
        <f>-C101</f>
        <v>-549322.79</v>
      </c>
      <c r="D105" s="38">
        <f t="shared" ref="D105:E105" si="28">-D101</f>
        <v>-477305.89083333337</v>
      </c>
      <c r="E105" s="38">
        <f t="shared" si="28"/>
        <v>-507042.37</v>
      </c>
    </row>
    <row r="106" spans="1:8" ht="15" thickBot="1" x14ac:dyDescent="0.35">
      <c r="A106" s="27" t="s">
        <v>79</v>
      </c>
      <c r="B106" s="39">
        <f>SUM(B104:B105)</f>
        <v>133123.78154242376</v>
      </c>
      <c r="C106" s="39">
        <f>SUM(C104:C105)</f>
        <v>123006.20999999996</v>
      </c>
      <c r="D106" s="39">
        <f t="shared" ref="D106:E106" si="29">SUM(D104:D105)</f>
        <v>138995.6925</v>
      </c>
      <c r="E106" s="39">
        <f t="shared" si="29"/>
        <v>152341.25</v>
      </c>
    </row>
    <row r="107" spans="1:8" ht="15" thickBot="1" x14ac:dyDescent="0.35"/>
    <row r="108" spans="1:8" ht="16.2" thickBot="1" x14ac:dyDescent="0.35">
      <c r="A108" s="61" t="s">
        <v>108</v>
      </c>
      <c r="B108" s="62" t="s">
        <v>109</v>
      </c>
      <c r="C108" s="62"/>
      <c r="D108" s="62"/>
      <c r="E108" s="62"/>
      <c r="F108" s="63">
        <f>F13+F48+F58+F69+F81+F88+F99</f>
        <v>13345.557499999994</v>
      </c>
    </row>
  </sheetData>
  <pageMargins left="0.11811023622047245" right="0.11811023622047245" top="0.15748031496062992" bottom="0.15748031496062992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9"/>
  <sheetViews>
    <sheetView tabSelected="1" zoomScale="120" zoomScaleNormal="120" workbookViewId="0">
      <selection activeCell="N87" sqref="N87"/>
    </sheetView>
  </sheetViews>
  <sheetFormatPr defaultRowHeight="14.4" x14ac:dyDescent="0.3"/>
  <cols>
    <col min="1" max="1" width="8.109375" customWidth="1"/>
    <col min="2" max="2" width="36.33203125" customWidth="1"/>
    <col min="3" max="3" width="14.44140625" customWidth="1"/>
    <col min="4" max="4" width="17.44140625" customWidth="1"/>
    <col min="5" max="5" width="12.6640625" customWidth="1"/>
    <col min="6" max="6" width="6.77734375" style="233" bestFit="1" customWidth="1"/>
    <col min="7" max="7" width="13.44140625" hidden="1" customWidth="1"/>
    <col min="8" max="8" width="4.88671875" customWidth="1"/>
    <col min="9" max="9" width="0.44140625" hidden="1" customWidth="1"/>
    <col min="10" max="10" width="7" hidden="1" customWidth="1"/>
    <col min="11" max="11" width="8" hidden="1" customWidth="1"/>
    <col min="12" max="12" width="2" hidden="1" customWidth="1"/>
    <col min="13" max="13" width="4.33203125" hidden="1" customWidth="1"/>
    <col min="14" max="14" width="10" customWidth="1"/>
  </cols>
  <sheetData>
    <row r="1" spans="1:15" ht="24.75" customHeight="1" x14ac:dyDescent="0.3">
      <c r="A1" s="404" t="s">
        <v>171</v>
      </c>
      <c r="B1" s="404"/>
      <c r="C1" s="404"/>
      <c r="D1" s="404"/>
      <c r="E1" s="404"/>
      <c r="F1" s="404"/>
      <c r="G1" s="404"/>
    </row>
    <row r="2" spans="1:15" ht="24.75" customHeight="1" x14ac:dyDescent="0.3">
      <c r="A2" s="404" t="s">
        <v>299</v>
      </c>
      <c r="B2" s="404"/>
      <c r="C2" s="404"/>
      <c r="D2" s="404"/>
      <c r="E2" s="404"/>
      <c r="F2" s="404"/>
      <c r="G2" s="404"/>
    </row>
    <row r="3" spans="1:15" ht="17.399999999999999" x14ac:dyDescent="0.3">
      <c r="B3" s="42"/>
      <c r="C3" s="54"/>
      <c r="D3" s="54"/>
      <c r="E3" s="54"/>
      <c r="F3" s="226"/>
      <c r="G3" s="54"/>
    </row>
    <row r="4" spans="1:15" ht="15" thickBot="1" x14ac:dyDescent="0.35">
      <c r="B4" s="1"/>
      <c r="C4" s="3" t="s">
        <v>1</v>
      </c>
      <c r="D4" s="30" t="s">
        <v>211</v>
      </c>
      <c r="E4" s="30" t="s">
        <v>300</v>
      </c>
      <c r="F4" s="227"/>
      <c r="G4" s="30" t="s">
        <v>206</v>
      </c>
    </row>
    <row r="5" spans="1:15" ht="16.2" thickBot="1" x14ac:dyDescent="0.35">
      <c r="A5" s="112" t="s">
        <v>172</v>
      </c>
      <c r="B5" s="111" t="s">
        <v>2</v>
      </c>
      <c r="C5" s="113" t="s">
        <v>232</v>
      </c>
      <c r="D5" s="114" t="s">
        <v>319</v>
      </c>
      <c r="E5" s="114" t="s">
        <v>297</v>
      </c>
      <c r="F5" s="228" t="s">
        <v>233</v>
      </c>
      <c r="G5" s="115" t="s">
        <v>180</v>
      </c>
      <c r="N5" s="243" t="s">
        <v>208</v>
      </c>
      <c r="O5" s="146"/>
    </row>
    <row r="6" spans="1:15" x14ac:dyDescent="0.3">
      <c r="A6" s="80">
        <v>4000</v>
      </c>
      <c r="B6" s="81" t="s">
        <v>112</v>
      </c>
      <c r="C6" s="136">
        <v>127406</v>
      </c>
      <c r="D6" s="31">
        <f>106174/10*12</f>
        <v>127408.79999999999</v>
      </c>
      <c r="E6" s="31">
        <f>'WBC - Draft offer'!J2+'WBC - Draft offer'!L2</f>
        <v>129514.54999999999</v>
      </c>
      <c r="F6" s="229"/>
      <c r="G6" s="31"/>
      <c r="I6" s="31"/>
      <c r="N6" s="395"/>
    </row>
    <row r="7" spans="1:15" x14ac:dyDescent="0.3">
      <c r="A7" s="80">
        <v>4003</v>
      </c>
      <c r="B7" s="81" t="s">
        <v>113</v>
      </c>
      <c r="C7" s="136">
        <v>67427</v>
      </c>
      <c r="D7" s="31">
        <f>56189/10*12</f>
        <v>67426.799999999988</v>
      </c>
      <c r="E7" s="31">
        <f>'WBC - Draft offer'!J3+'WBC - Draft offer'!L4</f>
        <v>68565.41</v>
      </c>
      <c r="F7" s="229"/>
      <c r="G7" s="31"/>
      <c r="I7" s="31"/>
    </row>
    <row r="8" spans="1:15" x14ac:dyDescent="0.3">
      <c r="A8" s="80">
        <v>4005</v>
      </c>
      <c r="B8" s="81" t="s">
        <v>177</v>
      </c>
      <c r="C8" s="136">
        <v>119928</v>
      </c>
      <c r="D8" s="31">
        <f>99940/10*12</f>
        <v>119928</v>
      </c>
      <c r="E8" s="31">
        <f>'WBC - Draft offer'!J4+'WBC - Draft offer'!L5</f>
        <v>121699.76628822953</v>
      </c>
      <c r="F8" s="229"/>
      <c r="G8" s="31"/>
      <c r="I8" s="31"/>
    </row>
    <row r="9" spans="1:15" x14ac:dyDescent="0.3">
      <c r="A9" s="80">
        <v>4012</v>
      </c>
      <c r="B9" s="81" t="s">
        <v>114</v>
      </c>
      <c r="C9" s="136">
        <v>2945</v>
      </c>
      <c r="D9" s="31">
        <f>2454/10*12</f>
        <v>2944.8</v>
      </c>
      <c r="E9" s="74">
        <f>'WBC - Draft offer'!L7</f>
        <v>2994.5870805205</v>
      </c>
      <c r="F9" s="230"/>
      <c r="G9" s="31"/>
      <c r="I9" s="31"/>
    </row>
    <row r="10" spans="1:15" x14ac:dyDescent="0.3">
      <c r="A10" s="80">
        <v>4013</v>
      </c>
      <c r="B10" s="81" t="s">
        <v>115</v>
      </c>
      <c r="C10" s="136">
        <v>1853</v>
      </c>
      <c r="D10" s="31">
        <f>1544/10*12</f>
        <v>1852.8000000000002</v>
      </c>
      <c r="E10" s="74">
        <f>'WBC - Draft offer'!L8</f>
        <v>1884.2879720000008</v>
      </c>
      <c r="F10" s="230"/>
      <c r="G10" s="31"/>
      <c r="I10" s="31"/>
    </row>
    <row r="11" spans="1:15" x14ac:dyDescent="0.3">
      <c r="A11" s="80">
        <v>4025</v>
      </c>
      <c r="B11" s="81" t="s">
        <v>116</v>
      </c>
      <c r="C11" s="136">
        <v>15716</v>
      </c>
      <c r="D11" s="31">
        <f>13096/10*12</f>
        <v>15715.199999999999</v>
      </c>
      <c r="E11" s="74">
        <f>'WBC - Draft offer'!L9</f>
        <v>15981.1</v>
      </c>
      <c r="F11" s="230"/>
      <c r="G11" s="31"/>
      <c r="I11" s="31"/>
    </row>
    <row r="12" spans="1:15" x14ac:dyDescent="0.3">
      <c r="A12" s="80">
        <v>4030</v>
      </c>
      <c r="B12" s="81" t="s">
        <v>110</v>
      </c>
      <c r="C12" s="136"/>
      <c r="D12" s="31">
        <f>2307/10*12</f>
        <v>2768.3999999999996</v>
      </c>
      <c r="E12" s="74">
        <v>900</v>
      </c>
      <c r="F12" s="230"/>
      <c r="G12" s="31"/>
      <c r="I12" s="31"/>
    </row>
    <row r="13" spans="1:15" x14ac:dyDescent="0.3">
      <c r="A13" s="80">
        <v>4900</v>
      </c>
      <c r="B13" s="81" t="s">
        <v>7</v>
      </c>
      <c r="C13" s="136"/>
      <c r="D13" s="31">
        <f>1064.95</f>
        <v>1064.95</v>
      </c>
      <c r="E13" s="74">
        <v>3100</v>
      </c>
      <c r="F13" s="230"/>
      <c r="G13" s="31"/>
      <c r="I13" s="31"/>
      <c r="N13" s="395"/>
    </row>
    <row r="14" spans="1:15" x14ac:dyDescent="0.3">
      <c r="A14" s="86" t="s">
        <v>170</v>
      </c>
      <c r="B14" s="87" t="s">
        <v>169</v>
      </c>
      <c r="C14" s="137"/>
      <c r="D14" s="138">
        <v>0</v>
      </c>
      <c r="E14" s="138">
        <v>0</v>
      </c>
      <c r="F14" s="231"/>
      <c r="G14" s="138"/>
      <c r="I14" s="31"/>
    </row>
    <row r="15" spans="1:15" ht="15" thickBot="1" x14ac:dyDescent="0.35">
      <c r="A15" s="86">
        <v>6039</v>
      </c>
      <c r="B15" s="87" t="s">
        <v>210</v>
      </c>
      <c r="C15" s="138">
        <v>0</v>
      </c>
      <c r="D15" s="138">
        <v>0</v>
      </c>
      <c r="E15" s="138">
        <v>0</v>
      </c>
      <c r="F15" s="231"/>
      <c r="G15" s="138"/>
      <c r="I15" s="31"/>
    </row>
    <row r="16" spans="1:15" ht="15" thickBot="1" x14ac:dyDescent="0.35">
      <c r="A16" s="110"/>
      <c r="B16" s="111" t="s">
        <v>9</v>
      </c>
      <c r="C16" s="139">
        <f>SUM(C6:C15)</f>
        <v>335275</v>
      </c>
      <c r="D16" s="139">
        <f>SUM(D6:D15)</f>
        <v>339109.75</v>
      </c>
      <c r="E16" s="139">
        <f>SUM(E6:E15)</f>
        <v>344639.70134075003</v>
      </c>
      <c r="F16" s="232"/>
      <c r="G16" s="139"/>
    </row>
    <row r="17" spans="1:15" ht="15" thickBot="1" x14ac:dyDescent="0.35">
      <c r="B17" s="1"/>
      <c r="C17" s="31"/>
      <c r="D17" s="31"/>
      <c r="E17" s="31"/>
      <c r="F17" s="229"/>
      <c r="G17" s="31"/>
    </row>
    <row r="18" spans="1:15" ht="15" thickBot="1" x14ac:dyDescent="0.35">
      <c r="A18" s="107" t="s">
        <v>172</v>
      </c>
      <c r="B18" s="109" t="s">
        <v>10</v>
      </c>
      <c r="C18" s="31"/>
      <c r="G18" s="65"/>
    </row>
    <row r="19" spans="1:15" ht="15" thickBot="1" x14ac:dyDescent="0.35">
      <c r="B19" s="9" t="s">
        <v>11</v>
      </c>
      <c r="C19" s="3" t="s">
        <v>1</v>
      </c>
      <c r="D19" s="68" t="str">
        <f>D4</f>
        <v>Estimate Full Year</v>
      </c>
      <c r="E19" s="68" t="s">
        <v>300</v>
      </c>
      <c r="F19" s="234"/>
      <c r="G19" s="88" t="s">
        <v>206</v>
      </c>
    </row>
    <row r="20" spans="1:15" ht="16.2" thickBot="1" x14ac:dyDescent="0.35">
      <c r="A20" s="100"/>
      <c r="B20" s="108" t="s">
        <v>12</v>
      </c>
      <c r="C20" s="104" t="str">
        <f>C5</f>
        <v>2024-25 (£)</v>
      </c>
      <c r="D20" s="104" t="str">
        <f>D5</f>
        <v>Based Jan 25</v>
      </c>
      <c r="E20" s="104" t="s">
        <v>297</v>
      </c>
      <c r="F20" s="235" t="s">
        <v>233</v>
      </c>
      <c r="G20" s="105" t="s">
        <v>180</v>
      </c>
    </row>
    <row r="21" spans="1:15" x14ac:dyDescent="0.3">
      <c r="A21" s="82">
        <v>6000</v>
      </c>
      <c r="B21" s="83" t="s">
        <v>128</v>
      </c>
      <c r="C21" s="31">
        <v>32076.134999999998</v>
      </c>
      <c r="D21" s="31">
        <f>23668/10*12</f>
        <v>28401.600000000002</v>
      </c>
      <c r="E21" s="75">
        <v>35000</v>
      </c>
      <c r="F21" s="224">
        <f>(E21-C21)/C21</f>
        <v>9.1153906167311047E-2</v>
      </c>
      <c r="G21" s="46"/>
      <c r="I21" s="31"/>
    </row>
    <row r="22" spans="1:15" x14ac:dyDescent="0.3">
      <c r="A22" s="82">
        <v>6020</v>
      </c>
      <c r="B22" s="83" t="s">
        <v>317</v>
      </c>
      <c r="C22" s="31">
        <v>30200</v>
      </c>
      <c r="D22" s="31">
        <f>49924/10*12</f>
        <v>59908.799999999996</v>
      </c>
      <c r="E22" s="75">
        <v>38000</v>
      </c>
      <c r="F22" s="224">
        <f>(E22-C22)/C22</f>
        <v>0.25827814569536423</v>
      </c>
      <c r="G22" s="46"/>
      <c r="I22" s="31"/>
      <c r="N22" s="395"/>
    </row>
    <row r="23" spans="1:15" x14ac:dyDescent="0.3">
      <c r="A23" s="82">
        <v>6026</v>
      </c>
      <c r="B23" s="83" t="s">
        <v>129</v>
      </c>
      <c r="C23" s="31">
        <v>3675</v>
      </c>
      <c r="D23" s="31">
        <f>2696/10*12</f>
        <v>3235.2000000000003</v>
      </c>
      <c r="E23" s="75">
        <v>3750</v>
      </c>
      <c r="F23" s="224">
        <f t="shared" ref="F23:F39" si="0">(E23-C23)/C23</f>
        <v>2.0408163265306121E-2</v>
      </c>
      <c r="G23" s="46"/>
      <c r="I23" s="31"/>
    </row>
    <row r="24" spans="1:15" x14ac:dyDescent="0.3">
      <c r="A24" s="82">
        <v>6027</v>
      </c>
      <c r="B24" s="83" t="s">
        <v>130</v>
      </c>
      <c r="C24" s="31">
        <v>2500</v>
      </c>
      <c r="D24" s="31">
        <f>163/10*12</f>
        <v>195.60000000000002</v>
      </c>
      <c r="E24" s="75">
        <v>1200</v>
      </c>
      <c r="F24" s="224">
        <f t="shared" si="0"/>
        <v>-0.52</v>
      </c>
      <c r="G24" s="46"/>
      <c r="I24" s="31"/>
      <c r="N24" s="399"/>
    </row>
    <row r="25" spans="1:15" x14ac:dyDescent="0.3">
      <c r="A25" s="82">
        <v>6034</v>
      </c>
      <c r="B25" s="83" t="s">
        <v>131</v>
      </c>
      <c r="C25" s="31">
        <v>525</v>
      </c>
      <c r="D25" s="31"/>
      <c r="E25" s="75">
        <v>500</v>
      </c>
      <c r="F25" s="237">
        <f t="shared" si="0"/>
        <v>-4.7619047619047616E-2</v>
      </c>
      <c r="G25" s="46"/>
      <c r="I25" s="31"/>
      <c r="N25" s="69"/>
    </row>
    <row r="26" spans="1:15" x14ac:dyDescent="0.3">
      <c r="A26" s="82">
        <v>6035</v>
      </c>
      <c r="B26" s="83" t="s">
        <v>132</v>
      </c>
      <c r="C26" s="31">
        <v>500</v>
      </c>
      <c r="D26" s="31"/>
      <c r="E26" s="75">
        <v>500</v>
      </c>
      <c r="F26" s="224">
        <f t="shared" si="0"/>
        <v>0</v>
      </c>
      <c r="G26" s="46"/>
      <c r="I26" s="31"/>
    </row>
    <row r="27" spans="1:15" x14ac:dyDescent="0.3">
      <c r="A27" s="141">
        <v>6039</v>
      </c>
      <c r="B27" s="142" t="s">
        <v>133</v>
      </c>
      <c r="C27" s="143">
        <v>0</v>
      </c>
      <c r="D27" s="143"/>
      <c r="E27" s="144"/>
      <c r="F27" s="239"/>
      <c r="G27" s="145"/>
      <c r="I27" s="31"/>
    </row>
    <row r="28" spans="1:15" x14ac:dyDescent="0.3">
      <c r="A28" s="82">
        <v>6040</v>
      </c>
      <c r="B28" s="83" t="s">
        <v>117</v>
      </c>
      <c r="C28" s="31">
        <v>8000</v>
      </c>
      <c r="D28" s="31"/>
      <c r="E28" s="75">
        <v>12000</v>
      </c>
      <c r="F28" s="403">
        <f>(E28-C28)/C28</f>
        <v>0.5</v>
      </c>
      <c r="G28" s="46"/>
      <c r="I28" s="31"/>
    </row>
    <row r="29" spans="1:15" x14ac:dyDescent="0.3">
      <c r="A29" s="82">
        <v>6045</v>
      </c>
      <c r="B29" s="83" t="s">
        <v>118</v>
      </c>
      <c r="C29" s="31">
        <v>300</v>
      </c>
      <c r="D29" s="31"/>
      <c r="E29" s="75">
        <v>300</v>
      </c>
      <c r="F29" s="224">
        <f t="shared" si="0"/>
        <v>0</v>
      </c>
      <c r="G29" s="46"/>
      <c r="I29" s="31"/>
    </row>
    <row r="30" spans="1:15" ht="15.6" x14ac:dyDescent="0.3">
      <c r="A30" s="82">
        <v>6060</v>
      </c>
      <c r="B30" s="83" t="s">
        <v>119</v>
      </c>
      <c r="C30" s="31">
        <v>1500</v>
      </c>
      <c r="D30" s="31"/>
      <c r="E30" s="75">
        <v>1500</v>
      </c>
      <c r="F30" s="224">
        <f t="shared" si="0"/>
        <v>0</v>
      </c>
      <c r="G30" s="46"/>
      <c r="I30" s="31"/>
      <c r="N30" s="400"/>
      <c r="O30" s="401"/>
    </row>
    <row r="31" spans="1:15" x14ac:dyDescent="0.3">
      <c r="A31" s="82">
        <v>6061</v>
      </c>
      <c r="B31" s="83" t="s">
        <v>120</v>
      </c>
      <c r="C31" s="31">
        <v>600</v>
      </c>
      <c r="D31" s="31"/>
      <c r="E31" s="75">
        <v>500</v>
      </c>
      <c r="F31" s="237">
        <f t="shared" si="0"/>
        <v>-0.16666666666666666</v>
      </c>
      <c r="G31" s="46"/>
      <c r="I31" s="31"/>
    </row>
    <row r="32" spans="1:15" x14ac:dyDescent="0.3">
      <c r="A32" s="82">
        <v>6130</v>
      </c>
      <c r="B32" s="83" t="s">
        <v>121</v>
      </c>
      <c r="C32" s="31">
        <v>2400</v>
      </c>
      <c r="D32" s="31"/>
      <c r="E32" s="75">
        <v>1500</v>
      </c>
      <c r="F32" s="224">
        <f t="shared" si="0"/>
        <v>-0.375</v>
      </c>
      <c r="G32" s="46"/>
      <c r="I32" s="31"/>
    </row>
    <row r="33" spans="1:14" x14ac:dyDescent="0.3">
      <c r="A33" s="82">
        <v>6140</v>
      </c>
      <c r="B33" s="83" t="s">
        <v>122</v>
      </c>
      <c r="C33" s="31">
        <v>2400</v>
      </c>
      <c r="D33" s="31">
        <f>376</f>
        <v>376</v>
      </c>
      <c r="E33" s="75">
        <v>2500</v>
      </c>
      <c r="F33" s="224">
        <f t="shared" si="0"/>
        <v>4.1666666666666664E-2</v>
      </c>
      <c r="G33" s="46"/>
      <c r="I33" s="31"/>
    </row>
    <row r="34" spans="1:14" x14ac:dyDescent="0.3">
      <c r="A34" s="82">
        <v>6160</v>
      </c>
      <c r="B34" s="83" t="s">
        <v>123</v>
      </c>
      <c r="C34" s="31">
        <v>10750</v>
      </c>
      <c r="D34" s="31">
        <f>9900/10*12</f>
        <v>11880</v>
      </c>
      <c r="E34" s="75">
        <v>13200</v>
      </c>
      <c r="F34" s="224">
        <f>(E34-C34)/C34</f>
        <v>0.22790697674418606</v>
      </c>
      <c r="G34" s="46"/>
      <c r="I34" s="78" t="s">
        <v>111</v>
      </c>
      <c r="J34" s="76"/>
      <c r="K34" s="77"/>
      <c r="L34" s="77"/>
      <c r="M34" s="77">
        <v>2331.9899999999998</v>
      </c>
    </row>
    <row r="35" spans="1:14" x14ac:dyDescent="0.3">
      <c r="A35" s="82">
        <v>6175</v>
      </c>
      <c r="B35" s="83" t="s">
        <v>124</v>
      </c>
      <c r="C35" s="31">
        <v>3150</v>
      </c>
      <c r="D35" s="31">
        <f>2985.6/10*12</f>
        <v>3582.7200000000003</v>
      </c>
      <c r="E35" s="75">
        <v>2700</v>
      </c>
      <c r="F35" s="237">
        <f t="shared" si="0"/>
        <v>-0.14285714285714285</v>
      </c>
      <c r="G35" s="46"/>
      <c r="I35" s="70">
        <v>44805</v>
      </c>
      <c r="J35">
        <v>19</v>
      </c>
      <c r="K35" s="69" t="e">
        <f>J35*#REF!</f>
        <v>#REF!</v>
      </c>
      <c r="L35" s="69" t="e">
        <f>M34+K35</f>
        <v>#REF!</v>
      </c>
    </row>
    <row r="36" spans="1:14" x14ac:dyDescent="0.3">
      <c r="A36" s="82">
        <v>6185</v>
      </c>
      <c r="B36" s="83" t="s">
        <v>125</v>
      </c>
      <c r="C36" s="31">
        <v>1000</v>
      </c>
      <c r="D36" s="31"/>
      <c r="E36" s="75">
        <v>1000</v>
      </c>
      <c r="F36" s="224">
        <f t="shared" si="0"/>
        <v>0</v>
      </c>
      <c r="G36" s="46"/>
      <c r="I36" s="70">
        <v>44835</v>
      </c>
      <c r="J36">
        <v>31</v>
      </c>
      <c r="K36" s="69" t="e">
        <f>J36*#REF!</f>
        <v>#REF!</v>
      </c>
      <c r="L36" s="69" t="e">
        <f>L35+K36</f>
        <v>#REF!</v>
      </c>
    </row>
    <row r="37" spans="1:14" x14ac:dyDescent="0.3">
      <c r="A37" s="82">
        <v>6190</v>
      </c>
      <c r="B37" s="83" t="s">
        <v>126</v>
      </c>
      <c r="C37" s="31">
        <v>3150</v>
      </c>
      <c r="D37" s="31"/>
      <c r="E37" s="75">
        <v>2000</v>
      </c>
      <c r="F37" s="237">
        <f t="shared" si="0"/>
        <v>-0.36507936507936506</v>
      </c>
      <c r="G37" s="46"/>
      <c r="I37" s="70">
        <v>44866</v>
      </c>
      <c r="J37">
        <v>30</v>
      </c>
      <c r="K37" s="69" t="e">
        <f>J37*#REF!</f>
        <v>#REF!</v>
      </c>
      <c r="L37" s="69" t="e">
        <f t="shared" ref="L37:L40" si="1">L36+K37</f>
        <v>#REF!</v>
      </c>
    </row>
    <row r="38" spans="1:14" ht="15" thickBot="1" x14ac:dyDescent="0.35">
      <c r="A38" s="212">
        <v>6315</v>
      </c>
      <c r="B38" s="213" t="s">
        <v>127</v>
      </c>
      <c r="C38" s="75">
        <v>420</v>
      </c>
      <c r="D38" s="75">
        <f>1190.4/8*12</f>
        <v>1785.6000000000001</v>
      </c>
      <c r="E38" s="75">
        <v>1400</v>
      </c>
      <c r="F38" s="242">
        <f t="shared" si="0"/>
        <v>2.3333333333333335</v>
      </c>
      <c r="G38" s="46"/>
      <c r="I38" s="70">
        <v>44896</v>
      </c>
      <c r="J38">
        <v>31</v>
      </c>
      <c r="K38" s="69" t="e">
        <f>J38*#REF!</f>
        <v>#REF!</v>
      </c>
      <c r="L38" s="69" t="e">
        <f t="shared" si="1"/>
        <v>#REF!</v>
      </c>
    </row>
    <row r="39" spans="1:14" ht="15" thickBot="1" x14ac:dyDescent="0.35">
      <c r="A39" s="100"/>
      <c r="B39" s="101" t="s">
        <v>174</v>
      </c>
      <c r="C39" s="106">
        <f>SUM(C21:C38)</f>
        <v>103146.13499999999</v>
      </c>
      <c r="D39" s="106">
        <f>SUM(D21:D38)</f>
        <v>109365.52</v>
      </c>
      <c r="E39" s="106">
        <f>SUM(E21:E38)</f>
        <v>117550</v>
      </c>
      <c r="F39" s="241">
        <f t="shared" si="0"/>
        <v>0.13964522277058666</v>
      </c>
      <c r="G39" s="102"/>
      <c r="I39" s="70">
        <v>45139</v>
      </c>
      <c r="J39">
        <v>31</v>
      </c>
      <c r="K39" s="69" t="e">
        <f>J39*#REF!</f>
        <v>#REF!</v>
      </c>
      <c r="L39" s="69" t="e">
        <f>#REF!+K39</f>
        <v>#REF!</v>
      </c>
    </row>
    <row r="40" spans="1:14" x14ac:dyDescent="0.3">
      <c r="B40" s="1"/>
      <c r="C40" s="31"/>
      <c r="G40" s="65"/>
      <c r="I40" s="70">
        <v>45170</v>
      </c>
      <c r="J40">
        <v>11</v>
      </c>
      <c r="K40" s="69" t="e">
        <f>J40*#REF!</f>
        <v>#REF!</v>
      </c>
      <c r="L40" s="69" t="e">
        <f t="shared" si="1"/>
        <v>#REF!</v>
      </c>
    </row>
    <row r="41" spans="1:14" ht="15" thickBot="1" x14ac:dyDescent="0.35">
      <c r="B41" s="1"/>
      <c r="C41" s="3" t="s">
        <v>1</v>
      </c>
      <c r="D41" s="68" t="str">
        <f>D19</f>
        <v>Estimate Full Year</v>
      </c>
      <c r="E41" s="68" t="s">
        <v>300</v>
      </c>
      <c r="F41" s="234"/>
      <c r="G41" s="88" t="s">
        <v>206</v>
      </c>
      <c r="I41" s="70"/>
      <c r="K41" s="69"/>
      <c r="L41" s="69"/>
    </row>
    <row r="42" spans="1:14" ht="16.2" thickBot="1" x14ac:dyDescent="0.35">
      <c r="A42" s="107" t="s">
        <v>172</v>
      </c>
      <c r="B42" s="103" t="s">
        <v>39</v>
      </c>
      <c r="C42" s="104" t="str">
        <f>C20</f>
        <v>2024-25 (£)</v>
      </c>
      <c r="D42" s="104" t="str">
        <f>D20</f>
        <v>Based Jan 25</v>
      </c>
      <c r="E42" s="104" t="s">
        <v>297</v>
      </c>
      <c r="F42" s="235" t="s">
        <v>233</v>
      </c>
      <c r="G42" s="105" t="s">
        <v>180</v>
      </c>
      <c r="I42" s="70"/>
      <c r="K42" s="69"/>
      <c r="L42" s="69"/>
    </row>
    <row r="43" spans="1:14" x14ac:dyDescent="0.3">
      <c r="A43" s="82">
        <v>5001</v>
      </c>
      <c r="B43" s="83" t="s">
        <v>134</v>
      </c>
      <c r="C43" s="31">
        <v>69863.741399999999</v>
      </c>
      <c r="D43" s="84">
        <f>69456.76/10*12+2000</f>
        <v>85348.111999999994</v>
      </c>
      <c r="E43" s="84">
        <f>'Payroll &amp; Cleaning'!G7-25000</f>
        <v>69516.202059842515</v>
      </c>
      <c r="F43" s="224">
        <f t="shared" ref="F43:F51" si="2">(E43-C43)/C43</f>
        <v>-4.9745308967590425E-3</v>
      </c>
      <c r="G43" s="46"/>
      <c r="I43" s="70"/>
      <c r="K43" s="69"/>
      <c r="L43" s="69"/>
      <c r="N43" s="395"/>
    </row>
    <row r="44" spans="1:14" x14ac:dyDescent="0.3">
      <c r="A44" s="82">
        <v>50011</v>
      </c>
      <c r="B44" s="83" t="s">
        <v>207</v>
      </c>
      <c r="C44" s="31">
        <v>48304</v>
      </c>
      <c r="D44" s="84">
        <f>38313/10*12</f>
        <v>45975.600000000006</v>
      </c>
      <c r="E44" s="84">
        <v>52060</v>
      </c>
      <c r="F44" s="224">
        <f>(E44-C44)/C44</f>
        <v>7.775753560781716E-2</v>
      </c>
      <c r="G44" s="46"/>
      <c r="I44" s="70"/>
      <c r="K44" s="69"/>
      <c r="L44" s="69"/>
      <c r="N44" s="395"/>
    </row>
    <row r="45" spans="1:14" x14ac:dyDescent="0.3">
      <c r="A45" s="82">
        <v>5002</v>
      </c>
      <c r="B45" s="83" t="s">
        <v>135</v>
      </c>
      <c r="C45" s="31">
        <v>8772.4657355000018</v>
      </c>
      <c r="D45" s="84"/>
      <c r="E45" s="84">
        <f>'Payroll &amp; Cleaning'!H10</f>
        <v>-2687.8599999999997</v>
      </c>
      <c r="F45" s="237">
        <f t="shared" si="2"/>
        <v>-1.306397321008949</v>
      </c>
      <c r="G45" s="46"/>
      <c r="I45" s="70"/>
      <c r="K45" s="69"/>
      <c r="L45" s="69"/>
    </row>
    <row r="46" spans="1:14" x14ac:dyDescent="0.3">
      <c r="A46" s="82">
        <v>5020</v>
      </c>
      <c r="B46" s="83" t="s">
        <v>136</v>
      </c>
      <c r="C46" s="31">
        <v>2095.9122419999999</v>
      </c>
      <c r="D46" s="84">
        <f>1444/10*12</f>
        <v>1732.8000000000002</v>
      </c>
      <c r="E46" s="84">
        <f>'Payroll &amp; Cleaning'!I7</f>
        <v>1711.0861817952757</v>
      </c>
      <c r="F46" s="237">
        <f t="shared" si="2"/>
        <v>-0.18360790709324185</v>
      </c>
      <c r="G46" s="46"/>
      <c r="I46" s="70"/>
      <c r="K46" s="69"/>
      <c r="L46" s="69"/>
    </row>
    <row r="47" spans="1:14" x14ac:dyDescent="0.3">
      <c r="A47" s="82">
        <v>5030</v>
      </c>
      <c r="B47" s="83" t="s">
        <v>137</v>
      </c>
      <c r="C47" s="31">
        <v>1000</v>
      </c>
      <c r="D47" s="84"/>
      <c r="E47" s="84">
        <v>300</v>
      </c>
      <c r="F47" s="224">
        <f t="shared" si="2"/>
        <v>-0.7</v>
      </c>
      <c r="G47" s="46"/>
      <c r="I47" s="70"/>
      <c r="K47" s="69"/>
      <c r="L47" s="69"/>
    </row>
    <row r="48" spans="1:14" x14ac:dyDescent="0.3">
      <c r="A48" s="82">
        <v>5042</v>
      </c>
      <c r="B48" s="83" t="s">
        <v>321</v>
      </c>
      <c r="C48" s="31">
        <v>1000</v>
      </c>
      <c r="D48" s="31">
        <f>11331.54/10*12</f>
        <v>13597.848</v>
      </c>
      <c r="E48" s="31">
        <v>1500</v>
      </c>
      <c r="F48" s="224">
        <f>(E48-C48)/C48</f>
        <v>0.5</v>
      </c>
      <c r="G48" s="46"/>
      <c r="N48" s="2"/>
    </row>
    <row r="49" spans="1:9" x14ac:dyDescent="0.3">
      <c r="A49" s="82">
        <v>5045</v>
      </c>
      <c r="B49" s="83" t="s">
        <v>318</v>
      </c>
      <c r="C49" s="31">
        <v>0</v>
      </c>
      <c r="D49" s="31"/>
      <c r="E49" s="31">
        <v>25000</v>
      </c>
      <c r="F49" s="224"/>
      <c r="G49" s="46"/>
      <c r="I49" s="31"/>
    </row>
    <row r="50" spans="1:9" x14ac:dyDescent="0.3">
      <c r="A50" s="82">
        <v>7120</v>
      </c>
      <c r="B50" s="83" t="s">
        <v>138</v>
      </c>
      <c r="C50" s="31">
        <v>250</v>
      </c>
      <c r="D50" s="31"/>
      <c r="E50" s="31">
        <v>300</v>
      </c>
      <c r="F50" s="224">
        <f t="shared" si="2"/>
        <v>0.2</v>
      </c>
      <c r="G50" s="46"/>
      <c r="I50" s="31"/>
    </row>
    <row r="51" spans="1:9" ht="15" thickBot="1" x14ac:dyDescent="0.35">
      <c r="A51" s="82">
        <v>8050</v>
      </c>
      <c r="B51" s="83" t="s">
        <v>139</v>
      </c>
      <c r="C51" s="31">
        <v>500</v>
      </c>
      <c r="D51" s="31"/>
      <c r="E51" s="31">
        <v>500</v>
      </c>
      <c r="F51" s="224">
        <f t="shared" si="2"/>
        <v>0</v>
      </c>
      <c r="G51" s="46"/>
      <c r="I51" s="31"/>
    </row>
    <row r="52" spans="1:9" ht="15" thickBot="1" x14ac:dyDescent="0.35">
      <c r="A52" s="100"/>
      <c r="B52" s="101" t="s">
        <v>173</v>
      </c>
      <c r="C52" s="106">
        <f>SUM(C43:C51)</f>
        <v>131786.11937750003</v>
      </c>
      <c r="D52" s="106">
        <f>SUM(D43:D51)</f>
        <v>146654.35999999999</v>
      </c>
      <c r="E52" s="106">
        <f>SUM(E43:E51)</f>
        <v>148199.4282416378</v>
      </c>
      <c r="F52" s="238">
        <f>SUM(F43:F51)</f>
        <v>-1.4172222233911331</v>
      </c>
      <c r="G52" s="102"/>
      <c r="I52" s="31"/>
    </row>
    <row r="53" spans="1:9" x14ac:dyDescent="0.3">
      <c r="B53" s="1"/>
      <c r="C53" s="31"/>
      <c r="G53" s="65"/>
      <c r="I53" s="31"/>
    </row>
    <row r="54" spans="1:9" ht="15" thickBot="1" x14ac:dyDescent="0.35">
      <c r="B54" s="1"/>
      <c r="C54" s="3" t="s">
        <v>1</v>
      </c>
      <c r="D54" s="68" t="str">
        <f>D41</f>
        <v>Estimate Full Year</v>
      </c>
      <c r="E54" s="68" t="s">
        <v>300</v>
      </c>
      <c r="F54" s="234"/>
      <c r="G54" s="88" t="s">
        <v>206</v>
      </c>
    </row>
    <row r="55" spans="1:9" ht="16.2" thickBot="1" x14ac:dyDescent="0.35">
      <c r="A55" s="107" t="s">
        <v>172</v>
      </c>
      <c r="B55" s="103" t="s">
        <v>140</v>
      </c>
      <c r="C55" s="104" t="str">
        <f>C42</f>
        <v>2024-25 (£)</v>
      </c>
      <c r="D55" s="104" t="str">
        <f>D42</f>
        <v>Based Jan 25</v>
      </c>
      <c r="E55" s="104" t="s">
        <v>297</v>
      </c>
      <c r="F55" s="235" t="s">
        <v>233</v>
      </c>
      <c r="G55" s="105" t="s">
        <v>180</v>
      </c>
    </row>
    <row r="56" spans="1:9" x14ac:dyDescent="0.3">
      <c r="A56" s="82">
        <v>7000</v>
      </c>
      <c r="B56" s="83" t="s">
        <v>141</v>
      </c>
      <c r="C56" s="84">
        <v>2022</v>
      </c>
      <c r="D56" s="31">
        <f>1830.57/10*12</f>
        <v>2196.6839999999997</v>
      </c>
      <c r="E56" s="31">
        <v>2900</v>
      </c>
      <c r="F56" s="224">
        <f t="shared" ref="F56:F78" si="3">(E56-C56)/C56</f>
        <v>0.43422354104846689</v>
      </c>
      <c r="G56" s="46"/>
    </row>
    <row r="57" spans="1:9" x14ac:dyDescent="0.3">
      <c r="A57" s="82">
        <v>7001</v>
      </c>
      <c r="B57" s="83" t="s">
        <v>142</v>
      </c>
      <c r="C57" s="84">
        <v>300</v>
      </c>
      <c r="D57" s="31"/>
      <c r="E57" s="31">
        <v>300</v>
      </c>
      <c r="F57" s="224">
        <f t="shared" si="3"/>
        <v>0</v>
      </c>
      <c r="G57" s="46"/>
    </row>
    <row r="58" spans="1:9" x14ac:dyDescent="0.3">
      <c r="A58" s="82">
        <v>7002</v>
      </c>
      <c r="B58" s="83" t="s">
        <v>143</v>
      </c>
      <c r="C58" s="84">
        <v>404.76672000000002</v>
      </c>
      <c r="D58" s="31">
        <f>346/10*12</f>
        <v>415.20000000000005</v>
      </c>
      <c r="E58" s="31">
        <v>405</v>
      </c>
      <c r="F58" s="224">
        <f t="shared" si="3"/>
        <v>5.7633196721306357E-4</v>
      </c>
      <c r="G58" s="46"/>
    </row>
    <row r="59" spans="1:9" x14ac:dyDescent="0.3">
      <c r="A59" s="82">
        <v>7005</v>
      </c>
      <c r="B59" s="83" t="s">
        <v>144</v>
      </c>
      <c r="C59" s="84">
        <v>0</v>
      </c>
      <c r="D59" s="31">
        <f>177.38/10*12</f>
        <v>212.85599999999999</v>
      </c>
      <c r="E59" s="31">
        <v>300</v>
      </c>
      <c r="F59" s="224"/>
      <c r="G59" s="46"/>
    </row>
    <row r="60" spans="1:9" x14ac:dyDescent="0.3">
      <c r="A60" s="82">
        <v>7010</v>
      </c>
      <c r="B60" s="83" t="s">
        <v>145</v>
      </c>
      <c r="C60" s="84">
        <v>2936.68</v>
      </c>
      <c r="D60" s="31">
        <f>5308/10*12</f>
        <v>6369.5999999999995</v>
      </c>
      <c r="E60" s="31">
        <f>5588.37+1157.52</f>
        <v>6745.8899999999994</v>
      </c>
      <c r="F60" s="224">
        <f t="shared" si="3"/>
        <v>1.2971144285383494</v>
      </c>
      <c r="G60" s="46"/>
    </row>
    <row r="61" spans="1:9" x14ac:dyDescent="0.3">
      <c r="A61" s="82">
        <v>7020</v>
      </c>
      <c r="B61" s="83" t="s">
        <v>146</v>
      </c>
      <c r="C61" s="84">
        <v>3600</v>
      </c>
      <c r="D61" s="31">
        <f>1282.9/10*12</f>
        <v>1539.4800000000002</v>
      </c>
      <c r="E61" s="31">
        <v>4000</v>
      </c>
      <c r="F61" s="224">
        <f t="shared" si="3"/>
        <v>0.1111111111111111</v>
      </c>
      <c r="G61" s="46"/>
    </row>
    <row r="62" spans="1:9" x14ac:dyDescent="0.3">
      <c r="A62" s="82">
        <v>7021</v>
      </c>
      <c r="B62" s="83" t="s">
        <v>147</v>
      </c>
      <c r="C62" s="84">
        <v>600</v>
      </c>
      <c r="D62" s="31"/>
      <c r="E62" s="31">
        <v>700</v>
      </c>
      <c r="F62" s="224">
        <f t="shared" si="3"/>
        <v>0.16666666666666666</v>
      </c>
      <c r="G62" s="46"/>
    </row>
    <row r="63" spans="1:9" x14ac:dyDescent="0.3">
      <c r="A63" s="82">
        <v>7022</v>
      </c>
      <c r="B63" s="83" t="s">
        <v>148</v>
      </c>
      <c r="C63" s="84">
        <v>1250</v>
      </c>
      <c r="D63" s="31">
        <f>(644)/10*12</f>
        <v>772.80000000000007</v>
      </c>
      <c r="E63" s="31">
        <v>1250</v>
      </c>
      <c r="F63" s="224">
        <f t="shared" si="3"/>
        <v>0</v>
      </c>
      <c r="G63" s="46"/>
    </row>
    <row r="64" spans="1:9" x14ac:dyDescent="0.3">
      <c r="A64" s="82">
        <v>7030</v>
      </c>
      <c r="B64" s="83" t="s">
        <v>149</v>
      </c>
      <c r="C64" s="84">
        <v>1000</v>
      </c>
      <c r="D64" s="31">
        <f>1325/10*12</f>
        <v>1590</v>
      </c>
      <c r="E64" s="31">
        <v>1000</v>
      </c>
      <c r="F64" s="224">
        <f t="shared" si="3"/>
        <v>0</v>
      </c>
      <c r="G64" s="46"/>
    </row>
    <row r="65" spans="1:14" x14ac:dyDescent="0.3">
      <c r="A65" s="82">
        <v>7031</v>
      </c>
      <c r="B65" s="83" t="s">
        <v>150</v>
      </c>
      <c r="C65" s="84">
        <v>200</v>
      </c>
      <c r="D65" s="31"/>
      <c r="E65" s="31">
        <v>200</v>
      </c>
      <c r="F65" s="224">
        <f t="shared" si="3"/>
        <v>0</v>
      </c>
      <c r="G65" s="46"/>
    </row>
    <row r="66" spans="1:14" x14ac:dyDescent="0.3">
      <c r="A66" s="82">
        <v>7050</v>
      </c>
      <c r="B66" s="83" t="s">
        <v>151</v>
      </c>
      <c r="C66" s="84">
        <v>2000</v>
      </c>
      <c r="D66" s="31">
        <f>1143.34/10*12</f>
        <v>1372.0079999999998</v>
      </c>
      <c r="E66" s="31">
        <v>1250</v>
      </c>
      <c r="F66" s="237">
        <f t="shared" si="3"/>
        <v>-0.375</v>
      </c>
      <c r="G66" s="46"/>
    </row>
    <row r="67" spans="1:14" x14ac:dyDescent="0.3">
      <c r="A67" s="82">
        <v>7060</v>
      </c>
      <c r="B67" s="83" t="s">
        <v>152</v>
      </c>
      <c r="C67" s="84">
        <v>1000</v>
      </c>
      <c r="D67" s="31">
        <f>208.33/10*12</f>
        <v>249.99600000000004</v>
      </c>
      <c r="E67" s="31">
        <v>500</v>
      </c>
      <c r="F67" s="224">
        <f t="shared" si="3"/>
        <v>-0.5</v>
      </c>
      <c r="G67" s="46"/>
    </row>
    <row r="68" spans="1:14" x14ac:dyDescent="0.3">
      <c r="A68" s="82">
        <v>7065</v>
      </c>
      <c r="B68" s="83" t="s">
        <v>153</v>
      </c>
      <c r="C68" s="84">
        <v>0</v>
      </c>
      <c r="D68" s="31"/>
      <c r="E68" s="31">
        <v>100</v>
      </c>
      <c r="F68" s="224"/>
      <c r="G68" s="46"/>
    </row>
    <row r="69" spans="1:14" x14ac:dyDescent="0.3">
      <c r="A69" s="82">
        <v>7070</v>
      </c>
      <c r="B69" s="83" t="s">
        <v>154</v>
      </c>
      <c r="C69" s="84">
        <v>1250</v>
      </c>
      <c r="D69" s="31"/>
      <c r="E69" s="31">
        <v>2000</v>
      </c>
      <c r="F69" s="224">
        <f t="shared" si="3"/>
        <v>0.6</v>
      </c>
      <c r="G69" s="46"/>
    </row>
    <row r="70" spans="1:14" x14ac:dyDescent="0.3">
      <c r="A70" s="82">
        <v>7150</v>
      </c>
      <c r="B70" s="83" t="s">
        <v>155</v>
      </c>
      <c r="C70" s="84">
        <v>150</v>
      </c>
      <c r="D70" s="31">
        <f>559.34/8*12</f>
        <v>839.01</v>
      </c>
      <c r="E70" s="31">
        <f>30*12</f>
        <v>360</v>
      </c>
      <c r="F70" s="224">
        <f t="shared" si="3"/>
        <v>1.4</v>
      </c>
      <c r="G70" s="46"/>
    </row>
    <row r="71" spans="1:14" x14ac:dyDescent="0.3">
      <c r="A71" s="82">
        <v>7160</v>
      </c>
      <c r="B71" s="83" t="s">
        <v>156</v>
      </c>
      <c r="C71" s="84">
        <v>1000</v>
      </c>
      <c r="D71" s="31">
        <f>859/8*12</f>
        <v>1288.5</v>
      </c>
      <c r="E71" s="31">
        <v>1000</v>
      </c>
      <c r="F71" s="224">
        <f t="shared" si="3"/>
        <v>0</v>
      </c>
      <c r="G71" s="46"/>
      <c r="N71" s="2"/>
    </row>
    <row r="72" spans="1:14" x14ac:dyDescent="0.3">
      <c r="A72" s="82">
        <v>8000</v>
      </c>
      <c r="B72" s="83" t="s">
        <v>157</v>
      </c>
      <c r="C72" s="84">
        <v>2500</v>
      </c>
      <c r="D72" s="31"/>
      <c r="E72" s="31">
        <v>2500</v>
      </c>
      <c r="F72" s="237">
        <f t="shared" si="3"/>
        <v>0</v>
      </c>
      <c r="G72" s="46"/>
    </row>
    <row r="73" spans="1:14" x14ac:dyDescent="0.3">
      <c r="A73" s="82">
        <v>8005</v>
      </c>
      <c r="B73" s="83" t="s">
        <v>158</v>
      </c>
      <c r="C73" s="84">
        <v>0</v>
      </c>
      <c r="D73" s="31">
        <v>204</v>
      </c>
      <c r="E73" s="31">
        <v>300</v>
      </c>
      <c r="F73" s="224"/>
      <c r="G73" s="46"/>
    </row>
    <row r="74" spans="1:14" x14ac:dyDescent="0.3">
      <c r="A74" s="82">
        <v>8010</v>
      </c>
      <c r="B74" s="83" t="s">
        <v>159</v>
      </c>
      <c r="C74" s="84">
        <v>75</v>
      </c>
      <c r="D74" s="31">
        <f>89.42/10*12</f>
        <v>107.304</v>
      </c>
      <c r="E74" s="31">
        <v>125</v>
      </c>
      <c r="F74" s="224">
        <f t="shared" si="3"/>
        <v>0.66666666666666663</v>
      </c>
      <c r="G74" s="46"/>
    </row>
    <row r="75" spans="1:14" x14ac:dyDescent="0.3">
      <c r="A75" s="82">
        <v>8040</v>
      </c>
      <c r="B75" s="83" t="s">
        <v>160</v>
      </c>
      <c r="C75" s="31">
        <v>5200</v>
      </c>
      <c r="D75" s="31">
        <f>3800/10*12</f>
        <v>4560</v>
      </c>
      <c r="E75" s="31">
        <v>5600</v>
      </c>
      <c r="F75" s="224">
        <f>(E75-C75)/C75</f>
        <v>7.6923076923076927E-2</v>
      </c>
      <c r="G75" s="46"/>
    </row>
    <row r="76" spans="1:14" x14ac:dyDescent="0.3">
      <c r="A76" s="82">
        <v>8056</v>
      </c>
      <c r="B76" s="83" t="s">
        <v>161</v>
      </c>
      <c r="C76" s="31">
        <v>1149.2</v>
      </c>
      <c r="D76" s="31"/>
      <c r="E76" s="31">
        <v>1000</v>
      </c>
      <c r="F76" s="224">
        <f t="shared" si="3"/>
        <v>-0.12982944657152806</v>
      </c>
      <c r="G76" s="46"/>
    </row>
    <row r="77" spans="1:14" x14ac:dyDescent="0.3">
      <c r="A77" s="82">
        <v>8057</v>
      </c>
      <c r="B77" s="83" t="s">
        <v>162</v>
      </c>
      <c r="C77" s="31">
        <v>2500</v>
      </c>
      <c r="D77" s="31"/>
      <c r="E77" s="31">
        <v>2000</v>
      </c>
      <c r="F77" s="224">
        <f t="shared" si="3"/>
        <v>-0.2</v>
      </c>
      <c r="G77" s="46"/>
    </row>
    <row r="78" spans="1:14" x14ac:dyDescent="0.3">
      <c r="A78" s="82">
        <v>9013</v>
      </c>
      <c r="B78" s="83" t="s">
        <v>163</v>
      </c>
      <c r="C78" s="31">
        <v>1327</v>
      </c>
      <c r="D78" s="31">
        <f>3072/10*12</f>
        <v>3686.3999999999996</v>
      </c>
      <c r="E78" s="31">
        <v>1500</v>
      </c>
      <c r="F78" s="224">
        <f t="shared" si="3"/>
        <v>0.1303692539562924</v>
      </c>
      <c r="G78" s="46"/>
    </row>
    <row r="79" spans="1:14" ht="15" thickBot="1" x14ac:dyDescent="0.35">
      <c r="A79" s="82">
        <v>9928</v>
      </c>
      <c r="B79" s="83" t="s">
        <v>164</v>
      </c>
      <c r="C79" s="31">
        <v>50</v>
      </c>
      <c r="D79" s="31"/>
      <c r="E79" s="31">
        <v>50</v>
      </c>
      <c r="F79" s="242">
        <f>(E79-C79)/C79</f>
        <v>0</v>
      </c>
      <c r="G79" s="46"/>
    </row>
    <row r="80" spans="1:14" ht="15" thickBot="1" x14ac:dyDescent="0.35">
      <c r="A80" s="100"/>
      <c r="B80" s="101" t="s">
        <v>175</v>
      </c>
      <c r="C80" s="106">
        <f>SUM(C56:C79)</f>
        <v>30514.646720000001</v>
      </c>
      <c r="D80" s="106">
        <f>SUM(D56:D79)</f>
        <v>25403.837999999996</v>
      </c>
      <c r="E80" s="106">
        <f>SUM(E56:E79)</f>
        <v>36085.89</v>
      </c>
      <c r="F80" s="241">
        <f>(E80-C80)/C80</f>
        <v>0.18257603737383196</v>
      </c>
      <c r="G80" s="106"/>
      <c r="I80" s="31"/>
    </row>
    <row r="81" spans="1:14" x14ac:dyDescent="0.3">
      <c r="B81" s="1"/>
      <c r="C81" s="31"/>
      <c r="G81" s="65"/>
      <c r="I81" s="31"/>
    </row>
    <row r="82" spans="1:14" ht="15" thickBot="1" x14ac:dyDescent="0.35">
      <c r="B82" s="18"/>
      <c r="C82" s="3" t="s">
        <v>1</v>
      </c>
      <c r="D82" s="68" t="str">
        <f>D54</f>
        <v>Estimate Full Year</v>
      </c>
      <c r="E82" s="68" t="s">
        <v>300</v>
      </c>
      <c r="F82" s="234"/>
      <c r="G82" s="88" t="s">
        <v>206</v>
      </c>
    </row>
    <row r="83" spans="1:14" ht="16.2" thickBot="1" x14ac:dyDescent="0.35">
      <c r="A83" s="100"/>
      <c r="B83" s="103" t="s">
        <v>53</v>
      </c>
      <c r="C83" s="104" t="str">
        <f>C55</f>
        <v>2024-25 (£)</v>
      </c>
      <c r="D83" s="104" t="str">
        <f>D55</f>
        <v>Based Jan 25</v>
      </c>
      <c r="E83" s="104" t="s">
        <v>297</v>
      </c>
      <c r="F83" s="235" t="s">
        <v>233</v>
      </c>
      <c r="G83" s="105" t="s">
        <v>180</v>
      </c>
    </row>
    <row r="84" spans="1:14" x14ac:dyDescent="0.3">
      <c r="A84" s="80">
        <v>9000</v>
      </c>
      <c r="B84" s="81" t="s">
        <v>165</v>
      </c>
      <c r="C84" s="31">
        <v>18387.2</v>
      </c>
      <c r="D84" s="31">
        <f>17437.16/10*12</f>
        <v>20924.591999999997</v>
      </c>
      <c r="E84" s="31">
        <v>18200</v>
      </c>
      <c r="F84" s="237">
        <f t="shared" ref="F84:F91" si="4">(E84-C84)/C84</f>
        <v>-1.0180995475113161E-2</v>
      </c>
      <c r="G84" s="73"/>
    </row>
    <row r="85" spans="1:14" x14ac:dyDescent="0.3">
      <c r="A85" s="80">
        <v>9001</v>
      </c>
      <c r="B85" s="81" t="s">
        <v>166</v>
      </c>
      <c r="C85" s="31">
        <v>1000</v>
      </c>
      <c r="D85" s="31"/>
      <c r="E85" s="31">
        <v>1000</v>
      </c>
      <c r="F85" s="224">
        <f t="shared" si="4"/>
        <v>0</v>
      </c>
      <c r="G85" s="73"/>
    </row>
    <row r="86" spans="1:14" x14ac:dyDescent="0.3">
      <c r="A86" s="80">
        <v>9006</v>
      </c>
      <c r="B86" s="81" t="s">
        <v>167</v>
      </c>
      <c r="C86" s="31">
        <v>22500</v>
      </c>
      <c r="D86" s="31"/>
      <c r="E86" s="31">
        <v>15981</v>
      </c>
      <c r="F86" s="237">
        <f t="shared" si="4"/>
        <v>-0.28973333333333334</v>
      </c>
      <c r="G86" s="73"/>
      <c r="I86" s="31"/>
      <c r="N86" s="395"/>
    </row>
    <row r="87" spans="1:14" x14ac:dyDescent="0.3">
      <c r="A87" s="80">
        <v>9007</v>
      </c>
      <c r="B87" s="81" t="s">
        <v>178</v>
      </c>
      <c r="C87" s="74">
        <v>0</v>
      </c>
      <c r="D87" s="74"/>
      <c r="E87" s="74">
        <v>0</v>
      </c>
      <c r="F87" s="224"/>
      <c r="G87" s="85"/>
      <c r="I87" s="31"/>
      <c r="N87" s="2"/>
    </row>
    <row r="88" spans="1:14" x14ac:dyDescent="0.3">
      <c r="A88" s="80">
        <v>9001</v>
      </c>
      <c r="B88" s="81" t="s">
        <v>179</v>
      </c>
      <c r="C88" s="74"/>
      <c r="D88" s="74"/>
      <c r="E88" s="74">
        <v>0</v>
      </c>
      <c r="F88" s="224"/>
      <c r="G88" s="85"/>
      <c r="I88" s="31"/>
    </row>
    <row r="89" spans="1:14" x14ac:dyDescent="0.3">
      <c r="A89" s="80">
        <v>9009</v>
      </c>
      <c r="B89" s="81" t="s">
        <v>168</v>
      </c>
      <c r="C89" s="74">
        <v>0</v>
      </c>
      <c r="D89" s="74"/>
      <c r="E89" s="31"/>
      <c r="F89" s="224"/>
      <c r="G89" s="85"/>
      <c r="I89" s="31"/>
    </row>
    <row r="90" spans="1:14" ht="15" thickBot="1" x14ac:dyDescent="0.35">
      <c r="A90" s="80">
        <v>9018</v>
      </c>
      <c r="B90" s="81" t="s">
        <v>205</v>
      </c>
      <c r="C90" s="74">
        <v>750</v>
      </c>
      <c r="D90" s="74">
        <f>335.6/10*12</f>
        <v>402.72</v>
      </c>
      <c r="E90" s="74">
        <v>750</v>
      </c>
      <c r="F90" s="224"/>
      <c r="G90" s="85"/>
      <c r="I90" s="31"/>
    </row>
    <row r="91" spans="1:14" ht="15" thickBot="1" x14ac:dyDescent="0.35">
      <c r="A91" s="100"/>
      <c r="B91" s="101" t="s">
        <v>176</v>
      </c>
      <c r="C91" s="106">
        <f>SUM(C84:C90)</f>
        <v>42637.2</v>
      </c>
      <c r="D91" s="106">
        <f>SUM(D84:D90)</f>
        <v>21327.311999999998</v>
      </c>
      <c r="E91" s="106">
        <f>SUM(E84:E90)</f>
        <v>35931</v>
      </c>
      <c r="F91" s="240">
        <f t="shared" si="4"/>
        <v>-0.15728518758267424</v>
      </c>
      <c r="G91" s="102"/>
      <c r="I91" s="31"/>
    </row>
    <row r="92" spans="1:14" x14ac:dyDescent="0.3">
      <c r="B92" s="2"/>
      <c r="C92" s="31"/>
      <c r="G92" s="65"/>
      <c r="I92" s="31"/>
    </row>
    <row r="93" spans="1:14" ht="15" thickBot="1" x14ac:dyDescent="0.35">
      <c r="B93" s="2"/>
      <c r="E93" s="79"/>
      <c r="I93" s="31"/>
    </row>
    <row r="94" spans="1:14" ht="15" thickBot="1" x14ac:dyDescent="0.35">
      <c r="A94" s="99"/>
      <c r="B94" s="97" t="s">
        <v>75</v>
      </c>
      <c r="C94" s="140">
        <f>C39+C52+C80+C91</f>
        <v>308084.10109750007</v>
      </c>
      <c r="D94" s="140">
        <f>D39+D52+D80+D91</f>
        <v>302751.02999999997</v>
      </c>
      <c r="E94" s="140">
        <f>E39+E52+E80+E91</f>
        <v>337766.31824163778</v>
      </c>
      <c r="F94" s="236"/>
      <c r="G94" s="98"/>
    </row>
    <row r="95" spans="1:14" ht="15" thickBot="1" x14ac:dyDescent="0.35">
      <c r="B95" s="2"/>
    </row>
    <row r="96" spans="1:14" ht="15" thickBot="1" x14ac:dyDescent="0.35">
      <c r="A96" s="90"/>
      <c r="B96" s="91" t="s">
        <v>76</v>
      </c>
      <c r="C96" s="92" t="str">
        <f>C82</f>
        <v>Budget</v>
      </c>
      <c r="D96" s="93" t="s">
        <v>90</v>
      </c>
      <c r="E96" s="94" t="s">
        <v>1</v>
      </c>
      <c r="G96" s="64"/>
    </row>
    <row r="97" spans="1:7" x14ac:dyDescent="0.3">
      <c r="A97" s="95"/>
      <c r="B97" s="67" t="s">
        <v>77</v>
      </c>
      <c r="C97" s="71">
        <f>C16</f>
        <v>335275</v>
      </c>
      <c r="D97" s="71">
        <f>D16</f>
        <v>339109.75</v>
      </c>
      <c r="E97" s="71">
        <f>E16</f>
        <v>344639.70134075003</v>
      </c>
      <c r="G97" s="64"/>
    </row>
    <row r="98" spans="1:7" ht="15" thickBot="1" x14ac:dyDescent="0.35">
      <c r="A98" s="95"/>
      <c r="B98" s="66" t="s">
        <v>78</v>
      </c>
      <c r="C98" s="72">
        <f>-C94</f>
        <v>-308084.10109750007</v>
      </c>
      <c r="D98" s="72">
        <f t="shared" ref="D98:E98" si="5">-D94</f>
        <v>-302751.02999999997</v>
      </c>
      <c r="E98" s="72">
        <f t="shared" si="5"/>
        <v>-337766.31824163778</v>
      </c>
      <c r="G98" s="64"/>
    </row>
    <row r="99" spans="1:7" ht="15" thickBot="1" x14ac:dyDescent="0.35">
      <c r="A99" s="96"/>
      <c r="B99" s="97" t="s">
        <v>79</v>
      </c>
      <c r="C99" s="98">
        <f t="shared" ref="C99:E99" si="6">SUM(C97:C98)</f>
        <v>27190.898902499932</v>
      </c>
      <c r="D99" s="98">
        <f t="shared" si="6"/>
        <v>36358.72000000003</v>
      </c>
      <c r="E99" s="98">
        <f t="shared" si="6"/>
        <v>6873.3830991122522</v>
      </c>
      <c r="G99" s="64"/>
    </row>
  </sheetData>
  <mergeCells count="2">
    <mergeCell ref="A1:G1"/>
    <mergeCell ref="A2:G2"/>
  </mergeCells>
  <phoneticPr fontId="18" type="noConversion"/>
  <pageMargins left="0.70866141732283472" right="0" top="0.55118110236220474" bottom="0.15748031496062992" header="0.31496062992125984" footer="0.31496062992125984"/>
  <pageSetup paperSize="8" scale="1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605B-911F-4DA9-978F-B5F08045DBDD}">
  <dimension ref="A1:G44"/>
  <sheetViews>
    <sheetView workbookViewId="0">
      <selection activeCell="B12" sqref="B12"/>
    </sheetView>
  </sheetViews>
  <sheetFormatPr defaultRowHeight="14.4" x14ac:dyDescent="0.3"/>
  <cols>
    <col min="1" max="1" width="57" customWidth="1"/>
    <col min="2" max="2" width="14.6640625" customWidth="1"/>
    <col min="3" max="3" width="17.109375" hidden="1" customWidth="1"/>
    <col min="4" max="4" width="0.44140625" hidden="1" customWidth="1"/>
    <col min="5" max="5" width="0.88671875" hidden="1" customWidth="1"/>
    <col min="7" max="7" width="11.5546875" bestFit="1" customWidth="1"/>
  </cols>
  <sheetData>
    <row r="1" spans="1:7" ht="24" thickBot="1" x14ac:dyDescent="0.5">
      <c r="A1" s="405" t="s">
        <v>212</v>
      </c>
      <c r="B1" s="406"/>
      <c r="C1" s="406"/>
      <c r="D1" s="406"/>
      <c r="E1" s="407"/>
    </row>
    <row r="2" spans="1:7" ht="15" thickBot="1" x14ac:dyDescent="0.35">
      <c r="A2" s="182"/>
      <c r="E2" s="244"/>
    </row>
    <row r="3" spans="1:7" x14ac:dyDescent="0.3">
      <c r="A3" s="147"/>
      <c r="B3" s="148" t="s">
        <v>1</v>
      </c>
      <c r="C3" s="149" t="s">
        <v>80</v>
      </c>
      <c r="D3" s="149" t="s">
        <v>82</v>
      </c>
      <c r="E3" s="150" t="s">
        <v>213</v>
      </c>
    </row>
    <row r="4" spans="1:7" ht="16.2" thickBot="1" x14ac:dyDescent="0.35">
      <c r="A4" s="151" t="s">
        <v>2</v>
      </c>
      <c r="B4" s="152" t="s">
        <v>298</v>
      </c>
      <c r="C4" s="153" t="s">
        <v>81</v>
      </c>
      <c r="D4" s="153" t="s">
        <v>83</v>
      </c>
      <c r="E4" s="154" t="s">
        <v>83</v>
      </c>
    </row>
    <row r="5" spans="1:7" x14ac:dyDescent="0.3">
      <c r="A5" s="155" t="s">
        <v>214</v>
      </c>
      <c r="B5" s="156">
        <f>'WBC - Draft offer'!J10</f>
        <v>248969.52480737749</v>
      </c>
      <c r="C5" s="156"/>
      <c r="D5" s="157"/>
      <c r="E5" s="158"/>
      <c r="G5" s="69"/>
    </row>
    <row r="6" spans="1:7" x14ac:dyDescent="0.3">
      <c r="A6" s="159" t="s">
        <v>215</v>
      </c>
      <c r="B6" s="160">
        <f>'WBC - Draft offer'!L10+4000</f>
        <v>95670.176533372563</v>
      </c>
      <c r="C6" s="160"/>
      <c r="D6" s="245"/>
      <c r="E6" s="161"/>
      <c r="F6" s="211"/>
      <c r="G6" s="69"/>
    </row>
    <row r="7" spans="1:7" ht="15" thickBot="1" x14ac:dyDescent="0.35">
      <c r="A7" s="162"/>
      <c r="B7" s="163">
        <f>SUM(B5:B6)</f>
        <v>344639.70134075003</v>
      </c>
      <c r="C7" s="163">
        <f t="shared" ref="C7:E7" si="0">SUM(C5:C6)</f>
        <v>0</v>
      </c>
      <c r="D7" s="163">
        <f t="shared" si="0"/>
        <v>0</v>
      </c>
      <c r="E7" s="164">
        <f t="shared" si="0"/>
        <v>0</v>
      </c>
    </row>
    <row r="8" spans="1:7" ht="15" thickTop="1" x14ac:dyDescent="0.3">
      <c r="A8" s="165" t="str">
        <f>'[1]MANAGEMENT ACCOUNT 2023-24'!B45</f>
        <v>Total Block Repairs &amp; Maintenance Cost</v>
      </c>
      <c r="B8" s="166">
        <f>'BUDGET 2025-26'!E39</f>
        <v>117550</v>
      </c>
      <c r="C8" s="166"/>
      <c r="D8" s="166"/>
      <c r="E8" s="167"/>
    </row>
    <row r="9" spans="1:7" x14ac:dyDescent="0.3">
      <c r="A9" s="168" t="str">
        <f>'[1]MANAGEMENT ACCOUNT 2023-24'!B63</f>
        <v>Total Staff Cost</v>
      </c>
      <c r="B9" s="169">
        <f>'BUDGET 2025-26'!E52</f>
        <v>148199.4282416378</v>
      </c>
      <c r="C9" s="169"/>
      <c r="D9" s="169"/>
      <c r="E9" s="167"/>
    </row>
    <row r="10" spans="1:7" x14ac:dyDescent="0.3">
      <c r="A10" s="170" t="str">
        <f>'[1]MANAGEMENT ACCOUNT 2023-24'!B101</f>
        <v>Total Management &amp; Service Costs</v>
      </c>
      <c r="B10" s="166">
        <f>'BUDGET 2025-26'!E80</f>
        <v>36085.89</v>
      </c>
      <c r="C10" s="166"/>
      <c r="D10" s="166"/>
      <c r="E10" s="167"/>
    </row>
    <row r="11" spans="1:7" x14ac:dyDescent="0.3">
      <c r="A11" s="170" t="str">
        <f>'[1]MANAGEMENT ACCOUNT 2023-24'!B115</f>
        <v>Tenant (Only Repairs)</v>
      </c>
      <c r="B11" s="166">
        <f>'BUDGET 2025-26'!E91</f>
        <v>35931</v>
      </c>
      <c r="C11" s="166"/>
      <c r="D11" s="166"/>
      <c r="E11" s="167"/>
    </row>
    <row r="12" spans="1:7" x14ac:dyDescent="0.3">
      <c r="A12" s="171" t="s">
        <v>216</v>
      </c>
      <c r="B12" s="246">
        <f>B8+B9+B10+B11</f>
        <v>337766.31824163778</v>
      </c>
      <c r="C12" s="246">
        <f>C8+C9+C10+C11</f>
        <v>0</v>
      </c>
      <c r="D12" s="246">
        <f>D8+D9+D10+D11</f>
        <v>0</v>
      </c>
      <c r="E12" s="172">
        <f>E8+E9+E10+E11</f>
        <v>0</v>
      </c>
    </row>
    <row r="13" spans="1:7" ht="15" thickBot="1" x14ac:dyDescent="0.35">
      <c r="A13" s="173"/>
      <c r="B13" s="174"/>
      <c r="C13" s="174"/>
      <c r="D13" s="174"/>
      <c r="E13" s="175"/>
    </row>
    <row r="14" spans="1:7" ht="15" thickBot="1" x14ac:dyDescent="0.35">
      <c r="A14" s="176" t="s">
        <v>217</v>
      </c>
      <c r="B14" s="177">
        <f>B7-B12</f>
        <v>6873.3830991122522</v>
      </c>
      <c r="C14" s="177">
        <f>C7-C12</f>
        <v>0</v>
      </c>
      <c r="D14" s="177">
        <f>D7-D12</f>
        <v>0</v>
      </c>
      <c r="E14" s="178">
        <f>E7-E12</f>
        <v>0</v>
      </c>
    </row>
    <row r="15" spans="1:7" x14ac:dyDescent="0.3">
      <c r="A15" s="182"/>
      <c r="E15" s="244"/>
    </row>
    <row r="16" spans="1:7" ht="15" thickBot="1" x14ac:dyDescent="0.35">
      <c r="A16" s="182"/>
      <c r="E16" s="244"/>
    </row>
    <row r="17" spans="1:5" ht="16.2" thickBot="1" x14ac:dyDescent="0.35">
      <c r="A17" s="408" t="s">
        <v>218</v>
      </c>
      <c r="B17" s="409"/>
      <c r="C17" s="409"/>
      <c r="D17" s="409"/>
      <c r="E17" s="410"/>
    </row>
    <row r="18" spans="1:5" ht="15" thickBot="1" x14ac:dyDescent="0.35">
      <c r="A18" s="182"/>
      <c r="E18" s="244"/>
    </row>
    <row r="19" spans="1:5" x14ac:dyDescent="0.3">
      <c r="A19" s="179" t="s">
        <v>214</v>
      </c>
      <c r="B19" s="214">
        <f>B5</f>
        <v>248969.52480737749</v>
      </c>
      <c r="C19" s="180">
        <f>C5</f>
        <v>0</v>
      </c>
      <c r="D19" s="180">
        <f>D5</f>
        <v>0</v>
      </c>
      <c r="E19" s="181">
        <f>E5</f>
        <v>0</v>
      </c>
    </row>
    <row r="20" spans="1:5" x14ac:dyDescent="0.3">
      <c r="A20" s="182"/>
      <c r="B20" s="247"/>
      <c r="C20" s="248"/>
      <c r="D20" s="248"/>
      <c r="E20" s="183"/>
    </row>
    <row r="21" spans="1:5" x14ac:dyDescent="0.3">
      <c r="A21" s="165" t="s">
        <v>219</v>
      </c>
      <c r="B21" s="215">
        <f>B8</f>
        <v>117550</v>
      </c>
      <c r="C21" s="166">
        <f>C8</f>
        <v>0</v>
      </c>
      <c r="D21" s="166">
        <f>D8</f>
        <v>0</v>
      </c>
      <c r="E21" s="184">
        <f>E8</f>
        <v>0</v>
      </c>
    </row>
    <row r="22" spans="1:5" x14ac:dyDescent="0.3">
      <c r="A22" s="165" t="s">
        <v>220</v>
      </c>
      <c r="B22" s="249">
        <f>B9*79%</f>
        <v>117077.54831089386</v>
      </c>
      <c r="C22" s="250">
        <f>C9*79%</f>
        <v>0</v>
      </c>
      <c r="D22" s="250">
        <f>D9*79%</f>
        <v>0</v>
      </c>
      <c r="E22" s="167">
        <f>E9*79%</f>
        <v>0</v>
      </c>
    </row>
    <row r="23" spans="1:5" x14ac:dyDescent="0.3">
      <c r="A23" s="185" t="s">
        <v>221</v>
      </c>
      <c r="B23" s="249">
        <f>B10</f>
        <v>36085.89</v>
      </c>
      <c r="C23" s="250">
        <f>C10</f>
        <v>0</v>
      </c>
      <c r="D23" s="250">
        <f>D10</f>
        <v>0</v>
      </c>
      <c r="E23" s="167">
        <f>E10</f>
        <v>0</v>
      </c>
    </row>
    <row r="24" spans="1:5" ht="15.6" x14ac:dyDescent="0.3">
      <c r="A24" s="186" t="s">
        <v>222</v>
      </c>
      <c r="B24" s="216">
        <f>(B8+B10)*15.689%</f>
        <v>24103.934782100001</v>
      </c>
      <c r="C24" s="187">
        <f>(C8+C10)*15.689%</f>
        <v>0</v>
      </c>
      <c r="D24" s="187">
        <f>(D8+D10)*15.689%</f>
        <v>0</v>
      </c>
      <c r="E24" s="188">
        <f>(E8+E10)*15.689%</f>
        <v>0</v>
      </c>
    </row>
    <row r="25" spans="1:5" x14ac:dyDescent="0.3">
      <c r="A25" s="189" t="s">
        <v>223</v>
      </c>
      <c r="B25" s="251">
        <f>B21+B22+B23-B24</f>
        <v>246609.5035287939</v>
      </c>
      <c r="C25" s="252">
        <f t="shared" ref="C25:E25" si="1">C21+C22+C23-C24</f>
        <v>0</v>
      </c>
      <c r="D25" s="252">
        <f t="shared" si="1"/>
        <v>0</v>
      </c>
      <c r="E25" s="190">
        <f t="shared" si="1"/>
        <v>0</v>
      </c>
    </row>
    <row r="26" spans="1:5" x14ac:dyDescent="0.3">
      <c r="A26" s="182"/>
      <c r="B26" s="247"/>
      <c r="C26" s="248"/>
      <c r="D26" s="248"/>
      <c r="E26" s="183"/>
    </row>
    <row r="27" spans="1:5" ht="15" thickBot="1" x14ac:dyDescent="0.35">
      <c r="A27" s="191" t="s">
        <v>224</v>
      </c>
      <c r="B27" s="217">
        <f>B19-B25</f>
        <v>2360.0212785835902</v>
      </c>
      <c r="C27" s="192">
        <f t="shared" ref="C27:D27" si="2">C19-C25</f>
        <v>0</v>
      </c>
      <c r="D27" s="192">
        <f t="shared" si="2"/>
        <v>0</v>
      </c>
      <c r="E27" s="193"/>
    </row>
    <row r="28" spans="1:5" x14ac:dyDescent="0.3">
      <c r="A28" s="182"/>
      <c r="E28" s="244"/>
    </row>
    <row r="29" spans="1:5" ht="15" thickBot="1" x14ac:dyDescent="0.35">
      <c r="A29" s="182"/>
      <c r="E29" s="244"/>
    </row>
    <row r="30" spans="1:5" ht="16.2" thickBot="1" x14ac:dyDescent="0.35">
      <c r="A30" s="408" t="s">
        <v>225</v>
      </c>
      <c r="B30" s="409"/>
      <c r="C30" s="409"/>
      <c r="D30" s="409"/>
      <c r="E30" s="410"/>
    </row>
    <row r="31" spans="1:5" ht="16.2" thickBot="1" x14ac:dyDescent="0.35">
      <c r="A31" s="253"/>
      <c r="B31" s="254"/>
      <c r="C31" s="254"/>
      <c r="D31" s="254"/>
      <c r="E31" s="255"/>
    </row>
    <row r="32" spans="1:5" x14ac:dyDescent="0.3">
      <c r="A32" s="179" t="s">
        <v>215</v>
      </c>
      <c r="B32" s="218">
        <f>B6</f>
        <v>95670.176533372563</v>
      </c>
      <c r="C32" s="194">
        <f t="shared" ref="C32:D32" si="3">C6</f>
        <v>0</v>
      </c>
      <c r="D32" s="194">
        <f t="shared" si="3"/>
        <v>0</v>
      </c>
      <c r="E32" s="195">
        <f>E6</f>
        <v>0</v>
      </c>
    </row>
    <row r="33" spans="1:5" x14ac:dyDescent="0.3">
      <c r="A33" s="182"/>
      <c r="B33" s="256"/>
      <c r="C33" s="257"/>
      <c r="D33" s="257"/>
      <c r="E33" s="196"/>
    </row>
    <row r="34" spans="1:5" x14ac:dyDescent="0.3">
      <c r="A34" s="185" t="str">
        <f>A11</f>
        <v>Tenant (Only Repairs)</v>
      </c>
      <c r="B34" s="258">
        <f>B11</f>
        <v>35931</v>
      </c>
      <c r="C34" s="259">
        <f t="shared" ref="C34" si="4">C11</f>
        <v>0</v>
      </c>
      <c r="D34" s="259">
        <f>D11</f>
        <v>0</v>
      </c>
      <c r="E34" s="197">
        <f>E11</f>
        <v>0</v>
      </c>
    </row>
    <row r="35" spans="1:5" x14ac:dyDescent="0.3">
      <c r="A35" s="165" t="s">
        <v>226</v>
      </c>
      <c r="B35" s="258">
        <f>B9*21%</f>
        <v>31121.879930743937</v>
      </c>
      <c r="C35" s="259">
        <f t="shared" ref="C35" si="5">C9*21%</f>
        <v>0</v>
      </c>
      <c r="D35" s="259">
        <f>D9*21%</f>
        <v>0</v>
      </c>
      <c r="E35" s="197">
        <f>E9*21%</f>
        <v>0</v>
      </c>
    </row>
    <row r="36" spans="1:5" x14ac:dyDescent="0.3">
      <c r="A36" s="185" t="s">
        <v>227</v>
      </c>
      <c r="B36" s="258">
        <f>B24</f>
        <v>24103.934782100001</v>
      </c>
      <c r="C36" s="259">
        <f t="shared" ref="C36" si="6">C24</f>
        <v>0</v>
      </c>
      <c r="D36" s="259">
        <f>D24</f>
        <v>0</v>
      </c>
      <c r="E36" s="197">
        <f t="shared" ref="E36" si="7">E24</f>
        <v>0</v>
      </c>
    </row>
    <row r="37" spans="1:5" x14ac:dyDescent="0.3">
      <c r="A37" s="198" t="s">
        <v>228</v>
      </c>
      <c r="B37" s="219">
        <f>SUM(B34:B36)</f>
        <v>91156.81471284393</v>
      </c>
      <c r="C37" s="199">
        <f t="shared" ref="C37:E37" si="8">SUM(C34:C36)</f>
        <v>0</v>
      </c>
      <c r="D37" s="199">
        <f>SUM(D34:D36)</f>
        <v>0</v>
      </c>
      <c r="E37" s="200">
        <f t="shared" si="8"/>
        <v>0</v>
      </c>
    </row>
    <row r="38" spans="1:5" x14ac:dyDescent="0.3">
      <c r="A38" s="182"/>
      <c r="B38" s="256"/>
      <c r="C38" s="257"/>
      <c r="D38" s="257"/>
      <c r="E38" s="196"/>
    </row>
    <row r="39" spans="1:5" ht="15" thickBot="1" x14ac:dyDescent="0.35">
      <c r="A39" s="191" t="s">
        <v>224</v>
      </c>
      <c r="B39" s="220">
        <f>B32-B37</f>
        <v>4513.361820528633</v>
      </c>
      <c r="C39" s="201">
        <f t="shared" ref="C39:E39" si="9">C32-C37</f>
        <v>0</v>
      </c>
      <c r="D39" s="201">
        <f t="shared" si="9"/>
        <v>0</v>
      </c>
      <c r="E39" s="202">
        <f t="shared" si="9"/>
        <v>0</v>
      </c>
    </row>
    <row r="40" spans="1:5" x14ac:dyDescent="0.3">
      <c r="A40" s="182"/>
      <c r="B40" s="256"/>
      <c r="C40" s="257"/>
      <c r="D40" s="257"/>
      <c r="E40" s="196"/>
    </row>
    <row r="41" spans="1:5" ht="15" thickBot="1" x14ac:dyDescent="0.35">
      <c r="A41" s="191" t="s">
        <v>229</v>
      </c>
      <c r="B41" s="221">
        <f>B27+B39</f>
        <v>6873.3830991122231</v>
      </c>
      <c r="C41" s="203">
        <f t="shared" ref="C41" si="10">C27+C39</f>
        <v>0</v>
      </c>
      <c r="D41" s="203">
        <f>D27+D39</f>
        <v>0</v>
      </c>
      <c r="E41" s="204"/>
    </row>
    <row r="42" spans="1:5" ht="15" thickBot="1" x14ac:dyDescent="0.35">
      <c r="A42" s="182"/>
      <c r="B42" s="256"/>
      <c r="C42" s="257"/>
      <c r="D42" s="257"/>
      <c r="E42" s="196"/>
    </row>
    <row r="43" spans="1:5" x14ac:dyDescent="0.3">
      <c r="A43" s="205" t="s">
        <v>230</v>
      </c>
      <c r="B43" s="222">
        <f>'BUDGET 2025-26'!E12+'BUDGET 2025-26'!E13</f>
        <v>4000</v>
      </c>
      <c r="C43" s="206">
        <v>0</v>
      </c>
      <c r="D43" s="206"/>
      <c r="E43" s="207"/>
    </row>
    <row r="44" spans="1:5" ht="15" thickBot="1" x14ac:dyDescent="0.35">
      <c r="A44" s="208" t="s">
        <v>231</v>
      </c>
      <c r="B44" s="223">
        <f>B41-'BUDGET 2025-26'!E99</f>
        <v>-2.9103830456733704E-11</v>
      </c>
      <c r="C44" s="209"/>
      <c r="D44" s="209"/>
      <c r="E44" s="210"/>
    </row>
  </sheetData>
  <mergeCells count="3">
    <mergeCell ref="A1:E1"/>
    <mergeCell ref="A17:E17"/>
    <mergeCell ref="A30:E3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3E2FC-75B8-4BAA-85DE-A3B8A75076B1}">
  <dimension ref="A1:J47"/>
  <sheetViews>
    <sheetView workbookViewId="0">
      <selection activeCell="G42" sqref="G42"/>
    </sheetView>
  </sheetViews>
  <sheetFormatPr defaultRowHeight="14.4" x14ac:dyDescent="0.3"/>
  <cols>
    <col min="1" max="1" width="10.33203125" customWidth="1"/>
    <col min="2" max="2" width="20.109375" customWidth="1"/>
    <col min="3" max="3" width="12.33203125" customWidth="1"/>
    <col min="4" max="4" width="14.6640625" customWidth="1"/>
    <col min="5" max="5" width="14" customWidth="1"/>
    <col min="6" max="6" width="16.77734375" customWidth="1"/>
    <col min="7" max="7" width="14.6640625" customWidth="1"/>
    <col min="8" max="8" width="16.33203125" customWidth="1"/>
    <col min="9" max="9" width="22.6640625" customWidth="1"/>
  </cols>
  <sheetData>
    <row r="1" spans="1:10" ht="18" x14ac:dyDescent="0.35">
      <c r="A1" s="411" t="s">
        <v>181</v>
      </c>
      <c r="B1" s="411"/>
      <c r="C1" s="411"/>
    </row>
    <row r="3" spans="1:10" ht="15" thickBot="1" x14ac:dyDescent="0.35">
      <c r="A3" s="120" t="s">
        <v>182</v>
      </c>
      <c r="B3" s="120" t="s">
        <v>183</v>
      </c>
      <c r="C3" s="120" t="s">
        <v>186</v>
      </c>
      <c r="D3" s="121" t="s">
        <v>187</v>
      </c>
      <c r="E3" s="121" t="s">
        <v>188</v>
      </c>
      <c r="F3" s="121" t="s">
        <v>189</v>
      </c>
      <c r="G3" s="122" t="s">
        <v>190</v>
      </c>
      <c r="H3" s="121" t="s">
        <v>191</v>
      </c>
      <c r="I3" s="121" t="s">
        <v>192</v>
      </c>
    </row>
    <row r="4" spans="1:10" x14ac:dyDescent="0.3">
      <c r="A4" s="117">
        <v>1</v>
      </c>
      <c r="B4" s="117" t="s">
        <v>184</v>
      </c>
      <c r="C4" s="118">
        <f>3489.98*1.04</f>
        <v>3629.5792000000001</v>
      </c>
      <c r="D4" s="119">
        <f>C4*12</f>
        <v>43554.950400000002</v>
      </c>
      <c r="E4" s="119">
        <f>D4/254*10</f>
        <v>1714.7618267716534</v>
      </c>
      <c r="F4" s="119">
        <v>1500</v>
      </c>
      <c r="G4" s="123">
        <f>D4+E4+F4</f>
        <v>46769.712226771655</v>
      </c>
      <c r="H4" s="119">
        <v>6075.09</v>
      </c>
      <c r="I4" s="119">
        <f>(G4-6240)*0.03</f>
        <v>1215.8913668031496</v>
      </c>
    </row>
    <row r="5" spans="1:10" x14ac:dyDescent="0.3">
      <c r="A5" s="117">
        <v>2</v>
      </c>
      <c r="B5" s="117" t="s">
        <v>185</v>
      </c>
      <c r="C5" s="118">
        <f>1272+414.88*1.04</f>
        <v>1703.4752000000001</v>
      </c>
      <c r="D5" s="119">
        <f t="shared" ref="D5" si="0">C5*12</f>
        <v>20441.702400000002</v>
      </c>
      <c r="E5" s="119">
        <f>D5/254*10</f>
        <v>804.79143307086611</v>
      </c>
      <c r="F5" s="119">
        <v>1500</v>
      </c>
      <c r="G5" s="123">
        <f t="shared" ref="G5" si="1">D5+E5+F5</f>
        <v>22746.493833070868</v>
      </c>
      <c r="H5" s="119">
        <v>1737.05</v>
      </c>
      <c r="I5" s="119">
        <f t="shared" ref="I5" si="2">(G5-6240)*0.03</f>
        <v>495.19481499212606</v>
      </c>
    </row>
    <row r="6" spans="1:10" x14ac:dyDescent="0.3">
      <c r="A6" s="117">
        <v>3</v>
      </c>
      <c r="B6" s="117" t="s">
        <v>301</v>
      </c>
      <c r="C6" s="118">
        <v>2083.3330000000001</v>
      </c>
      <c r="D6" s="119">
        <f t="shared" ref="D6" si="3">C6*12</f>
        <v>24999.995999999999</v>
      </c>
      <c r="E6" s="119">
        <v>0</v>
      </c>
      <c r="F6" s="119">
        <v>0</v>
      </c>
      <c r="G6" s="123">
        <f t="shared" ref="G6" si="4">D6+E6+F6</f>
        <v>24999.995999999999</v>
      </c>
      <c r="H6" s="119">
        <v>0</v>
      </c>
      <c r="I6" s="119">
        <v>0</v>
      </c>
      <c r="J6" s="211" t="s">
        <v>314</v>
      </c>
    </row>
    <row r="7" spans="1:10" ht="15" thickBot="1" x14ac:dyDescent="0.35">
      <c r="A7" s="124"/>
      <c r="B7" s="124"/>
      <c r="C7" s="125">
        <f t="shared" ref="C7:H7" si="5">SUM(C4:C6)</f>
        <v>7416.3873999999996</v>
      </c>
      <c r="D7" s="125">
        <f t="shared" si="5"/>
        <v>88996.648799999995</v>
      </c>
      <c r="E7" s="125">
        <f t="shared" si="5"/>
        <v>2519.5532598425198</v>
      </c>
      <c r="F7" s="125">
        <f t="shared" si="5"/>
        <v>3000</v>
      </c>
      <c r="G7" s="125">
        <f t="shared" si="5"/>
        <v>94516.202059842515</v>
      </c>
      <c r="H7" s="125">
        <f t="shared" si="5"/>
        <v>7812.14</v>
      </c>
      <c r="I7" s="125">
        <f>SUM(I4:I6)</f>
        <v>1711.0861817952757</v>
      </c>
    </row>
    <row r="8" spans="1:10" x14ac:dyDescent="0.3">
      <c r="C8" s="89"/>
      <c r="D8" s="89"/>
      <c r="E8" s="89"/>
      <c r="F8" s="89"/>
      <c r="G8" s="89"/>
      <c r="H8" s="89"/>
      <c r="I8" s="89"/>
    </row>
    <row r="9" spans="1:10" x14ac:dyDescent="0.3">
      <c r="C9" s="89"/>
      <c r="D9" s="89"/>
      <c r="E9" s="89"/>
      <c r="F9" s="89"/>
      <c r="G9" s="89" t="s">
        <v>193</v>
      </c>
      <c r="H9" s="89">
        <f>10500</f>
        <v>10500</v>
      </c>
      <c r="I9" s="402" t="s">
        <v>320</v>
      </c>
    </row>
    <row r="10" spans="1:10" x14ac:dyDescent="0.3">
      <c r="C10" s="89"/>
      <c r="D10" s="89"/>
      <c r="E10" s="89"/>
      <c r="F10" s="89"/>
      <c r="G10" s="89" t="s">
        <v>194</v>
      </c>
      <c r="H10" s="89">
        <f>H7-H9</f>
        <v>-2687.8599999999997</v>
      </c>
      <c r="I10" s="89"/>
    </row>
    <row r="15" spans="1:10" ht="18.600000000000001" thickBot="1" x14ac:dyDescent="0.4">
      <c r="A15" s="412" t="s">
        <v>209</v>
      </c>
      <c r="B15" s="412"/>
      <c r="C15" s="412"/>
      <c r="I15" s="69"/>
    </row>
    <row r="16" spans="1:10" x14ac:dyDescent="0.3">
      <c r="A16" s="133" t="s">
        <v>195</v>
      </c>
      <c r="B16" s="133" t="s">
        <v>196</v>
      </c>
      <c r="C16" s="133" t="s">
        <v>197</v>
      </c>
      <c r="D16" s="133" t="s">
        <v>198</v>
      </c>
      <c r="E16" s="133" t="s">
        <v>199</v>
      </c>
      <c r="F16" s="133" t="s">
        <v>200</v>
      </c>
      <c r="G16" s="133" t="s">
        <v>201</v>
      </c>
    </row>
    <row r="18" spans="1:9" x14ac:dyDescent="0.3">
      <c r="A18" s="398">
        <v>45409</v>
      </c>
      <c r="B18" s="128" t="s">
        <v>313</v>
      </c>
      <c r="C18" s="396">
        <v>3627</v>
      </c>
      <c r="D18" s="127">
        <v>0</v>
      </c>
      <c r="E18" t="s">
        <v>202</v>
      </c>
      <c r="F18" s="128" t="s">
        <v>304</v>
      </c>
      <c r="G18" s="129">
        <v>2212</v>
      </c>
    </row>
    <row r="19" spans="1:9" x14ac:dyDescent="0.3">
      <c r="A19" s="398">
        <v>45409</v>
      </c>
      <c r="B19" s="128" t="s">
        <v>312</v>
      </c>
      <c r="C19" s="396">
        <v>3627</v>
      </c>
      <c r="D19" s="127">
        <v>0</v>
      </c>
      <c r="E19" t="s">
        <v>202</v>
      </c>
      <c r="F19" s="128" t="s">
        <v>304</v>
      </c>
      <c r="G19" s="129">
        <v>2212</v>
      </c>
    </row>
    <row r="20" spans="1:9" x14ac:dyDescent="0.3">
      <c r="A20" s="398">
        <v>45409</v>
      </c>
      <c r="B20" s="128" t="s">
        <v>203</v>
      </c>
      <c r="C20" s="396">
        <v>3629</v>
      </c>
      <c r="D20" s="127">
        <v>0</v>
      </c>
      <c r="E20" t="s">
        <v>202</v>
      </c>
      <c r="F20" s="128" t="s">
        <v>304</v>
      </c>
      <c r="G20" s="129">
        <v>1620</v>
      </c>
      <c r="I20" s="128"/>
    </row>
    <row r="21" spans="1:9" x14ac:dyDescent="0.3">
      <c r="A21" s="398">
        <v>45429</v>
      </c>
      <c r="B21" s="128" t="s">
        <v>203</v>
      </c>
      <c r="C21" s="396">
        <v>3656</v>
      </c>
      <c r="D21" s="127">
        <v>0</v>
      </c>
      <c r="E21" t="s">
        <v>202</v>
      </c>
      <c r="F21" s="128" t="s">
        <v>305</v>
      </c>
      <c r="G21" s="129">
        <v>2132</v>
      </c>
      <c r="I21" s="128"/>
    </row>
    <row r="22" spans="1:9" x14ac:dyDescent="0.3">
      <c r="A22" s="398">
        <v>45429</v>
      </c>
      <c r="B22" s="128" t="s">
        <v>203</v>
      </c>
      <c r="C22" s="396">
        <v>3657</v>
      </c>
      <c r="D22" s="127">
        <v>0</v>
      </c>
      <c r="E22" t="s">
        <v>202</v>
      </c>
      <c r="F22" s="128" t="s">
        <v>305</v>
      </c>
      <c r="G22" s="129">
        <v>1572</v>
      </c>
      <c r="I22" s="128"/>
    </row>
    <row r="23" spans="1:9" x14ac:dyDescent="0.3">
      <c r="A23" s="398">
        <v>45469</v>
      </c>
      <c r="B23" s="128" t="s">
        <v>203</v>
      </c>
      <c r="C23" s="396">
        <v>3706</v>
      </c>
      <c r="D23" s="127">
        <v>0</v>
      </c>
      <c r="E23" t="s">
        <v>202</v>
      </c>
      <c r="F23" s="128" t="s">
        <v>306</v>
      </c>
      <c r="G23" s="129">
        <v>1728</v>
      </c>
      <c r="I23" s="128"/>
    </row>
    <row r="24" spans="1:9" x14ac:dyDescent="0.3">
      <c r="A24" s="398">
        <v>45469</v>
      </c>
      <c r="B24" s="128" t="s">
        <v>203</v>
      </c>
      <c r="C24" s="396">
        <v>3707</v>
      </c>
      <c r="D24" s="127">
        <v>0</v>
      </c>
      <c r="E24" t="s">
        <v>202</v>
      </c>
      <c r="F24" s="128" t="s">
        <v>306</v>
      </c>
      <c r="G24" s="129">
        <v>2180</v>
      </c>
      <c r="I24" s="128"/>
    </row>
    <row r="25" spans="1:9" x14ac:dyDescent="0.3">
      <c r="A25" s="398">
        <v>45469</v>
      </c>
      <c r="B25" s="128" t="s">
        <v>203</v>
      </c>
      <c r="C25" s="396">
        <v>3707</v>
      </c>
      <c r="D25" s="127">
        <v>0</v>
      </c>
      <c r="E25" t="s">
        <v>202</v>
      </c>
      <c r="F25" s="128" t="s">
        <v>306</v>
      </c>
      <c r="G25" s="129">
        <v>2180</v>
      </c>
      <c r="I25" s="128"/>
    </row>
    <row r="26" spans="1:9" x14ac:dyDescent="0.3">
      <c r="A26" s="398">
        <v>45500</v>
      </c>
      <c r="B26" s="128" t="s">
        <v>203</v>
      </c>
      <c r="C26" s="396">
        <v>3742</v>
      </c>
      <c r="D26" s="127">
        <v>0</v>
      </c>
      <c r="E26" t="s">
        <v>202</v>
      </c>
      <c r="F26" s="128" t="s">
        <v>307</v>
      </c>
      <c r="G26" s="129">
        <v>2184</v>
      </c>
      <c r="I26" s="128"/>
    </row>
    <row r="27" spans="1:9" x14ac:dyDescent="0.3">
      <c r="A27" s="398">
        <v>45500</v>
      </c>
      <c r="B27" s="128" t="s">
        <v>203</v>
      </c>
      <c r="C27" s="396">
        <v>3743</v>
      </c>
      <c r="D27" s="127">
        <v>0</v>
      </c>
      <c r="F27" s="128" t="s">
        <v>307</v>
      </c>
      <c r="G27" s="129">
        <v>1698</v>
      </c>
      <c r="I27" s="128"/>
    </row>
    <row r="28" spans="1:9" x14ac:dyDescent="0.3">
      <c r="A28" s="398">
        <v>45527</v>
      </c>
      <c r="B28" s="128" t="s">
        <v>203</v>
      </c>
      <c r="C28" s="396">
        <v>3774</v>
      </c>
      <c r="D28" s="127">
        <v>0</v>
      </c>
      <c r="E28" t="s">
        <v>202</v>
      </c>
      <c r="F28" s="128" t="s">
        <v>311</v>
      </c>
      <c r="G28" s="129">
        <v>2184</v>
      </c>
      <c r="I28" s="128"/>
    </row>
    <row r="29" spans="1:9" x14ac:dyDescent="0.3">
      <c r="A29" s="398">
        <v>45527</v>
      </c>
      <c r="B29" s="128" t="s">
        <v>203</v>
      </c>
      <c r="C29" s="396">
        <v>3775</v>
      </c>
      <c r="D29" s="127">
        <v>0</v>
      </c>
      <c r="E29" t="s">
        <v>202</v>
      </c>
      <c r="F29" s="128" t="s">
        <v>311</v>
      </c>
      <c r="G29" s="129">
        <v>1620</v>
      </c>
      <c r="I29" s="128"/>
    </row>
    <row r="30" spans="1:9" x14ac:dyDescent="0.3">
      <c r="A30" s="398">
        <v>45560</v>
      </c>
      <c r="B30" s="128" t="s">
        <v>203</v>
      </c>
      <c r="C30" s="396">
        <v>3823</v>
      </c>
      <c r="D30" s="127">
        <v>0</v>
      </c>
      <c r="E30" t="s">
        <v>202</v>
      </c>
      <c r="F30" s="128" t="s">
        <v>308</v>
      </c>
      <c r="G30" s="129">
        <v>2276</v>
      </c>
      <c r="I30" s="128"/>
    </row>
    <row r="31" spans="1:9" x14ac:dyDescent="0.3">
      <c r="A31" s="398">
        <v>45560</v>
      </c>
      <c r="B31" s="128" t="s">
        <v>203</v>
      </c>
      <c r="C31" s="396">
        <v>3823</v>
      </c>
      <c r="D31" s="127">
        <v>0</v>
      </c>
      <c r="E31" t="s">
        <v>202</v>
      </c>
      <c r="F31" s="128" t="s">
        <v>308</v>
      </c>
      <c r="G31" s="129">
        <v>2276</v>
      </c>
      <c r="I31" s="128"/>
    </row>
    <row r="32" spans="1:9" x14ac:dyDescent="0.3">
      <c r="A32" s="398">
        <v>45560</v>
      </c>
      <c r="B32" s="128" t="s">
        <v>203</v>
      </c>
      <c r="C32" s="396">
        <v>3823</v>
      </c>
      <c r="D32" s="127">
        <v>0</v>
      </c>
      <c r="E32" t="s">
        <v>202</v>
      </c>
      <c r="F32" s="128" t="s">
        <v>308</v>
      </c>
      <c r="G32" s="129">
        <v>2276</v>
      </c>
      <c r="I32" s="128"/>
    </row>
    <row r="33" spans="1:9" x14ac:dyDescent="0.3">
      <c r="A33" s="398">
        <v>45560</v>
      </c>
      <c r="B33" s="128" t="s">
        <v>203</v>
      </c>
      <c r="C33" s="396">
        <v>3824</v>
      </c>
      <c r="D33" s="127">
        <v>0</v>
      </c>
      <c r="E33" t="s">
        <v>202</v>
      </c>
      <c r="F33" s="128" t="s">
        <v>308</v>
      </c>
      <c r="G33" s="129">
        <v>1722</v>
      </c>
      <c r="I33" s="128"/>
    </row>
    <row r="34" spans="1:9" x14ac:dyDescent="0.3">
      <c r="A34" s="398">
        <v>45560</v>
      </c>
      <c r="B34" s="128" t="s">
        <v>203</v>
      </c>
      <c r="C34" s="396">
        <v>3824</v>
      </c>
      <c r="D34" s="127">
        <v>0</v>
      </c>
      <c r="E34" t="s">
        <v>202</v>
      </c>
      <c r="F34" s="128" t="s">
        <v>309</v>
      </c>
      <c r="G34" s="129">
        <v>1722</v>
      </c>
      <c r="I34" s="128"/>
    </row>
    <row r="35" spans="1:9" x14ac:dyDescent="0.3">
      <c r="A35" s="398">
        <v>45593</v>
      </c>
      <c r="B35" s="128" t="s">
        <v>203</v>
      </c>
      <c r="C35" s="396">
        <v>3857</v>
      </c>
      <c r="D35" s="127">
        <v>0</v>
      </c>
      <c r="E35" t="s">
        <v>202</v>
      </c>
      <c r="F35" s="128" t="s">
        <v>310</v>
      </c>
      <c r="G35" s="129">
        <v>1704</v>
      </c>
      <c r="I35" s="128"/>
    </row>
    <row r="36" spans="1:9" x14ac:dyDescent="0.3">
      <c r="A36" s="398">
        <v>45593</v>
      </c>
      <c r="B36" s="128" t="s">
        <v>203</v>
      </c>
      <c r="C36" s="396">
        <v>3858</v>
      </c>
      <c r="D36" s="127">
        <v>0</v>
      </c>
      <c r="E36" t="s">
        <v>202</v>
      </c>
      <c r="F36" s="128" t="s">
        <v>310</v>
      </c>
      <c r="G36" s="129">
        <v>2184</v>
      </c>
      <c r="I36" s="128"/>
    </row>
    <row r="37" spans="1:9" x14ac:dyDescent="0.3">
      <c r="A37" s="398">
        <v>45621</v>
      </c>
      <c r="B37" s="128" t="s">
        <v>203</v>
      </c>
      <c r="C37" s="396">
        <v>3888</v>
      </c>
      <c r="D37" s="127">
        <v>0</v>
      </c>
      <c r="E37" t="s">
        <v>202</v>
      </c>
      <c r="F37" s="128" t="s">
        <v>309</v>
      </c>
      <c r="G37" s="129">
        <v>1626</v>
      </c>
      <c r="I37" s="128"/>
    </row>
    <row r="38" spans="1:9" x14ac:dyDescent="0.3">
      <c r="A38" s="398">
        <v>45621</v>
      </c>
      <c r="B38" s="128" t="s">
        <v>203</v>
      </c>
      <c r="C38" s="396">
        <v>3889</v>
      </c>
      <c r="D38" s="127">
        <v>0</v>
      </c>
      <c r="E38" t="s">
        <v>202</v>
      </c>
      <c r="F38" s="128" t="s">
        <v>309</v>
      </c>
      <c r="G38" s="129">
        <v>2184</v>
      </c>
      <c r="I38" s="128"/>
    </row>
    <row r="39" spans="1:9" x14ac:dyDescent="0.3">
      <c r="A39" s="397"/>
      <c r="B39" s="128"/>
      <c r="C39" s="128"/>
      <c r="D39" s="127"/>
      <c r="E39" s="128"/>
      <c r="F39" s="128"/>
      <c r="G39" s="129"/>
    </row>
    <row r="40" spans="1:9" ht="15" thickBot="1" x14ac:dyDescent="0.35">
      <c r="A40" s="131"/>
      <c r="B40" s="131"/>
      <c r="C40" s="131"/>
      <c r="D40" s="130"/>
      <c r="E40" s="131"/>
      <c r="F40" s="131"/>
      <c r="G40" s="132"/>
    </row>
    <row r="42" spans="1:9" x14ac:dyDescent="0.3">
      <c r="E42" s="128" t="s">
        <v>302</v>
      </c>
      <c r="G42" s="89">
        <f>SUM(G18:G41)</f>
        <v>41492</v>
      </c>
    </row>
    <row r="43" spans="1:9" x14ac:dyDescent="0.3">
      <c r="G43" s="89"/>
    </row>
    <row r="44" spans="1:9" x14ac:dyDescent="0.3">
      <c r="E44" s="126" t="s">
        <v>303</v>
      </c>
      <c r="F44" s="116"/>
      <c r="G44" s="119">
        <f>G42/8*12</f>
        <v>62238</v>
      </c>
    </row>
    <row r="45" spans="1:9" x14ac:dyDescent="0.3">
      <c r="E45" t="s">
        <v>204</v>
      </c>
      <c r="G45" s="89">
        <v>2000</v>
      </c>
    </row>
    <row r="46" spans="1:9" ht="15" thickBot="1" x14ac:dyDescent="0.35">
      <c r="E46" s="134" t="s">
        <v>1</v>
      </c>
      <c r="F46" s="134"/>
      <c r="G46" s="135">
        <f>G44+G45</f>
        <v>64238</v>
      </c>
    </row>
    <row r="47" spans="1:9" ht="15" thickTop="1" x14ac:dyDescent="0.3"/>
  </sheetData>
  <mergeCells count="2">
    <mergeCell ref="A1:C1"/>
    <mergeCell ref="A15:C15"/>
  </mergeCells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33252-6E43-49AD-B4D5-09E139972FB0}">
  <sheetPr>
    <tabColor theme="8" tint="0.39997558519241921"/>
  </sheetPr>
  <dimension ref="A1:P64"/>
  <sheetViews>
    <sheetView topLeftCell="A35" workbookViewId="0">
      <selection activeCell="L3" sqref="L3"/>
    </sheetView>
  </sheetViews>
  <sheetFormatPr defaultRowHeight="14.4" x14ac:dyDescent="0.3"/>
  <cols>
    <col min="1" max="1" width="32.33203125" customWidth="1"/>
    <col min="3" max="3" width="11.44140625" customWidth="1"/>
    <col min="5" max="5" width="10.88671875" customWidth="1"/>
    <col min="6" max="6" width="14.109375" customWidth="1"/>
    <col min="7" max="7" width="12.5546875" customWidth="1"/>
    <col min="8" max="8" width="16.109375" customWidth="1"/>
    <col min="9" max="9" width="25.44140625" customWidth="1"/>
    <col min="10" max="10" width="17.5546875" customWidth="1"/>
    <col min="11" max="11" width="43.44140625" customWidth="1"/>
    <col min="12" max="12" width="16.44140625" customWidth="1"/>
    <col min="13" max="13" width="12.88671875" customWidth="1"/>
    <col min="14" max="14" width="11.5546875" customWidth="1"/>
    <col min="15" max="15" width="10.88671875" bestFit="1" customWidth="1"/>
    <col min="16" max="16" width="11.5546875" bestFit="1" customWidth="1"/>
  </cols>
  <sheetData>
    <row r="1" spans="1:16" ht="15.6" x14ac:dyDescent="0.3">
      <c r="A1" s="413" t="s">
        <v>288</v>
      </c>
      <c r="B1" s="414"/>
      <c r="C1" s="414"/>
      <c r="D1" s="414"/>
      <c r="E1" s="414"/>
      <c r="F1" s="414"/>
      <c r="G1" s="414"/>
      <c r="H1" s="415"/>
      <c r="I1" t="s">
        <v>294</v>
      </c>
      <c r="J1" s="54" t="s">
        <v>297</v>
      </c>
      <c r="K1" s="79" t="s">
        <v>295</v>
      </c>
      <c r="L1" s="54" t="s">
        <v>297</v>
      </c>
    </row>
    <row r="2" spans="1:16" ht="16.2" thickBot="1" x14ac:dyDescent="0.35">
      <c r="A2" s="416" t="s">
        <v>296</v>
      </c>
      <c r="B2" s="417"/>
      <c r="C2" s="417"/>
      <c r="D2" s="417"/>
      <c r="E2" s="417"/>
      <c r="F2" s="417"/>
      <c r="G2" s="417"/>
      <c r="H2" s="418"/>
      <c r="I2" t="str">
        <f>[2]LHA!C4</f>
        <v>LH SC Management allowance</v>
      </c>
      <c r="J2" s="359">
        <f>M28</f>
        <v>86403.158274999994</v>
      </c>
      <c r="K2" t="str">
        <f>[2]TENANTS!C4</f>
        <v>Management allowance</v>
      </c>
      <c r="L2" s="359">
        <f>N28</f>
        <v>43111.391725000001</v>
      </c>
    </row>
    <row r="3" spans="1:16" ht="15.6" x14ac:dyDescent="0.3">
      <c r="A3" s="260"/>
      <c r="B3" s="261"/>
      <c r="C3" s="262"/>
      <c r="D3" s="6"/>
      <c r="E3" s="6"/>
      <c r="F3" s="6"/>
      <c r="G3" s="6"/>
      <c r="H3" s="263"/>
      <c r="I3" t="str">
        <f>[2]LHA!C5</f>
        <v>Repair allowance</v>
      </c>
      <c r="J3" s="69">
        <f>M36</f>
        <v>52795.365699999995</v>
      </c>
      <c r="K3" t="str">
        <f>[2]TENANTS!C5</f>
        <v>Management allowance - non-residential only</v>
      </c>
      <c r="L3" s="225"/>
    </row>
    <row r="4" spans="1:16" x14ac:dyDescent="0.3">
      <c r="A4" s="264"/>
      <c r="B4" s="261"/>
      <c r="C4" s="6"/>
      <c r="D4" s="6"/>
      <c r="E4" s="265" t="s">
        <v>234</v>
      </c>
      <c r="F4" s="265" t="s">
        <v>235</v>
      </c>
      <c r="G4" s="6"/>
      <c r="H4" s="266"/>
      <c r="I4" t="str">
        <f>[2]LHA!C6</f>
        <v>Estate cost allowance</v>
      </c>
      <c r="J4" s="359">
        <f>M54</f>
        <v>109771.0008323775</v>
      </c>
      <c r="K4" t="str">
        <f>[2]TENANTS!C6</f>
        <v>Repairs allowance</v>
      </c>
      <c r="L4" s="379">
        <f>N36</f>
        <v>15770.044300000009</v>
      </c>
    </row>
    <row r="5" spans="1:16" x14ac:dyDescent="0.3">
      <c r="A5" s="260"/>
      <c r="B5" s="261"/>
      <c r="C5" s="6"/>
      <c r="D5" s="6"/>
      <c r="E5" s="265"/>
      <c r="F5" s="265"/>
      <c r="G5" s="6"/>
      <c r="H5" s="267" t="s">
        <v>236</v>
      </c>
      <c r="I5" t="str">
        <f>[2]LHA!C7</f>
        <v>Insurance allowance</v>
      </c>
      <c r="J5" s="69">
        <v>0</v>
      </c>
      <c r="K5" t="str">
        <f>[2]TENANTS!C7</f>
        <v>Estate cost allowance</v>
      </c>
      <c r="L5" s="380">
        <f>N45</f>
        <v>11928.765455852037</v>
      </c>
    </row>
    <row r="6" spans="1:16" x14ac:dyDescent="0.3">
      <c r="A6" s="264"/>
      <c r="B6" s="261"/>
      <c r="C6" s="6"/>
      <c r="D6" s="6"/>
      <c r="E6" s="6"/>
      <c r="F6" s="6"/>
      <c r="G6" s="6"/>
      <c r="H6" s="268" t="s">
        <v>237</v>
      </c>
      <c r="K6" t="str">
        <f>[2]TENANTS!C8</f>
        <v>Insurance allowance</v>
      </c>
      <c r="L6" s="69">
        <v>0</v>
      </c>
    </row>
    <row r="7" spans="1:16" x14ac:dyDescent="0.3">
      <c r="A7" s="264"/>
      <c r="B7" s="261"/>
      <c r="C7" s="6" t="s">
        <v>238</v>
      </c>
      <c r="D7" s="6"/>
      <c r="E7" s="6">
        <v>41</v>
      </c>
      <c r="F7" s="6"/>
      <c r="G7" s="345">
        <f>E7/E9</f>
        <v>0.15241635687732341</v>
      </c>
      <c r="H7" s="266"/>
      <c r="K7" t="str">
        <f>[2]TENANTS!C9</f>
        <v>Administration</v>
      </c>
      <c r="L7" s="379">
        <f>N47</f>
        <v>2994.5870805205</v>
      </c>
    </row>
    <row r="8" spans="1:16" x14ac:dyDescent="0.3">
      <c r="A8" s="264"/>
      <c r="B8" s="261"/>
      <c r="C8" s="6" t="s">
        <v>239</v>
      </c>
      <c r="D8" s="6"/>
      <c r="E8" s="6">
        <v>228</v>
      </c>
      <c r="F8" s="6"/>
      <c r="G8" s="345">
        <f>E8/E9</f>
        <v>0.84758364312267653</v>
      </c>
      <c r="H8" s="266"/>
      <c r="K8" t="str">
        <f>[2]TENANTS!C10</f>
        <v>Client cost allowance</v>
      </c>
      <c r="L8" s="379">
        <f>N49</f>
        <v>1884.2879720000008</v>
      </c>
    </row>
    <row r="9" spans="1:16" ht="15" thickBot="1" x14ac:dyDescent="0.35">
      <c r="A9" s="269"/>
      <c r="B9" s="270"/>
      <c r="C9" s="271"/>
      <c r="D9" s="271"/>
      <c r="E9" s="272">
        <f>SUM(E7:E8)</f>
        <v>269</v>
      </c>
      <c r="F9" s="272">
        <v>152</v>
      </c>
      <c r="G9" s="271"/>
      <c r="H9" s="273"/>
      <c r="K9" t="str">
        <f>[2]TENANTS!C11</f>
        <v>Void allowance</v>
      </c>
      <c r="L9" s="379">
        <f>O40</f>
        <v>15981.1</v>
      </c>
    </row>
    <row r="10" spans="1:16" ht="15.6" thickTop="1" thickBot="1" x14ac:dyDescent="0.35">
      <c r="A10" s="260"/>
      <c r="B10" s="274"/>
      <c r="C10" s="6"/>
      <c r="D10" s="6"/>
      <c r="E10" s="6"/>
      <c r="F10" s="6"/>
      <c r="G10" s="6"/>
      <c r="H10" s="266"/>
      <c r="J10" s="381">
        <f>SUM(J2:J9)</f>
        <v>248969.52480737749</v>
      </c>
      <c r="K10" s="69">
        <f>SUM(J10,L10)</f>
        <v>340639.70134075003</v>
      </c>
      <c r="L10" s="381">
        <f>SUM(L2:L9)</f>
        <v>91670.176533372563</v>
      </c>
    </row>
    <row r="11" spans="1:16" ht="15.6" x14ac:dyDescent="0.3">
      <c r="A11" s="275" t="s">
        <v>240</v>
      </c>
      <c r="B11" s="261"/>
      <c r="C11" s="276"/>
      <c r="D11" s="277"/>
      <c r="E11" s="278"/>
      <c r="F11" s="279" t="s">
        <v>241</v>
      </c>
      <c r="G11" s="334"/>
      <c r="H11" s="280"/>
      <c r="K11" s="79">
        <f>F18-K10</f>
        <v>0</v>
      </c>
      <c r="L11" s="69"/>
      <c r="M11" s="346">
        <v>0.69650000000000001</v>
      </c>
      <c r="N11" s="346">
        <v>0.30349999999999999</v>
      </c>
      <c r="O11" s="347" t="s">
        <v>290</v>
      </c>
      <c r="P11" s="347" t="s">
        <v>291</v>
      </c>
    </row>
    <row r="12" spans="1:16" ht="15.6" x14ac:dyDescent="0.3">
      <c r="A12" s="264"/>
      <c r="B12" s="281"/>
      <c r="C12" s="282" t="s">
        <v>242</v>
      </c>
      <c r="D12" s="335"/>
      <c r="E12" s="336"/>
      <c r="F12" s="330">
        <f>H28</f>
        <v>129514.55</v>
      </c>
      <c r="G12" s="394">
        <f>F12/4</f>
        <v>32378.637500000001</v>
      </c>
      <c r="H12" s="332">
        <v>85159.925000000003</v>
      </c>
      <c r="K12" s="79" t="str">
        <f>C12</f>
        <v>Management</v>
      </c>
      <c r="M12" s="348">
        <f>F12-N12</f>
        <v>90206.884075000009</v>
      </c>
      <c r="N12" s="349">
        <f>F12*$N$11</f>
        <v>39307.665925000001</v>
      </c>
      <c r="O12" s="350">
        <f>SUM(M12:N12)</f>
        <v>129514.55000000002</v>
      </c>
      <c r="P12" s="351">
        <f>F12-O12</f>
        <v>0</v>
      </c>
    </row>
    <row r="13" spans="1:16" ht="15.6" x14ac:dyDescent="0.3">
      <c r="A13" s="283"/>
      <c r="B13" s="284"/>
      <c r="C13" s="282" t="s">
        <v>243</v>
      </c>
      <c r="D13" s="337"/>
      <c r="E13" s="336"/>
      <c r="F13" s="330">
        <f>H44</f>
        <v>189912.65111240002</v>
      </c>
      <c r="G13" s="394">
        <f t="shared" ref="G13:G15" si="0">F13/4</f>
        <v>47478.162778100006</v>
      </c>
      <c r="H13" s="332">
        <v>85159.925000000003</v>
      </c>
      <c r="K13" s="79" t="str">
        <f>C13</f>
        <v>Estate Costs</v>
      </c>
      <c r="M13" s="348">
        <f>F13-N13</f>
        <v>132274.16149978663</v>
      </c>
      <c r="N13" s="348">
        <f>F13*$N$11</f>
        <v>57638.489612613404</v>
      </c>
      <c r="O13" s="350">
        <f>SUM(M13:N13)</f>
        <v>189912.65111240002</v>
      </c>
      <c r="P13" s="351">
        <f>F13-O13</f>
        <v>0</v>
      </c>
    </row>
    <row r="14" spans="1:16" ht="15.6" x14ac:dyDescent="0.3">
      <c r="A14" s="285"/>
      <c r="B14" s="281"/>
      <c r="C14" s="282" t="s">
        <v>244</v>
      </c>
      <c r="D14" s="336"/>
      <c r="E14" s="336"/>
      <c r="F14" s="330">
        <f>SUM(H47)</f>
        <v>13019.943828349999</v>
      </c>
      <c r="G14" s="394">
        <f t="shared" si="0"/>
        <v>3254.9859570874996</v>
      </c>
      <c r="H14" s="332">
        <v>85159.925000000003</v>
      </c>
      <c r="K14" s="79" t="str">
        <f>C14</f>
        <v>Committee Administration</v>
      </c>
      <c r="M14" s="348">
        <f t="shared" ref="M14:M16" si="1">F14-N14</f>
        <v>9068.3908764457738</v>
      </c>
      <c r="N14" s="349">
        <f t="shared" ref="N14:N16" si="2">F14*$N$11</f>
        <v>3951.5529519042243</v>
      </c>
      <c r="O14" s="350">
        <f t="shared" ref="O14:O17" si="3">SUM(M14:N14)</f>
        <v>13019.943828349999</v>
      </c>
      <c r="P14" s="351">
        <f t="shared" ref="P14:P16" si="4">F14-O14</f>
        <v>0</v>
      </c>
    </row>
    <row r="15" spans="1:16" ht="15.6" x14ac:dyDescent="0.3">
      <c r="A15" s="285"/>
      <c r="B15" s="281"/>
      <c r="C15" s="282" t="s">
        <v>245</v>
      </c>
      <c r="D15" s="336"/>
      <c r="E15" s="336"/>
      <c r="F15" s="330">
        <f>SUM(H49)</f>
        <v>8192.5563999999995</v>
      </c>
      <c r="G15" s="394">
        <f t="shared" si="0"/>
        <v>2048.1390999999999</v>
      </c>
      <c r="H15" s="332">
        <v>85159.925000000003</v>
      </c>
      <c r="K15" s="79" t="str">
        <f>C15</f>
        <v>Client Costs</v>
      </c>
      <c r="M15" s="348">
        <f t="shared" si="1"/>
        <v>5706.1155325999998</v>
      </c>
      <c r="N15" s="349">
        <f t="shared" si="2"/>
        <v>2486.4408673999997</v>
      </c>
      <c r="O15" s="350">
        <f t="shared" si="3"/>
        <v>8192.5563999999995</v>
      </c>
      <c r="P15" s="351">
        <f t="shared" si="4"/>
        <v>0</v>
      </c>
    </row>
    <row r="16" spans="1:16" ht="15.6" x14ac:dyDescent="0.3">
      <c r="A16" s="285"/>
      <c r="B16" s="281"/>
      <c r="C16" s="282" t="s">
        <v>289</v>
      </c>
      <c r="D16" s="336"/>
      <c r="E16" s="336"/>
      <c r="F16" s="330"/>
      <c r="G16" s="338"/>
      <c r="H16" s="332"/>
      <c r="K16" s="79" t="str">
        <f>C16</f>
        <v>Insurance</v>
      </c>
      <c r="M16" s="348">
        <f t="shared" si="1"/>
        <v>0</v>
      </c>
      <c r="N16" s="348">
        <f t="shared" si="2"/>
        <v>0</v>
      </c>
      <c r="O16" s="350">
        <f t="shared" si="3"/>
        <v>0</v>
      </c>
      <c r="P16" s="351">
        <f t="shared" si="4"/>
        <v>0</v>
      </c>
    </row>
    <row r="17" spans="1:16" ht="16.2" thickBot="1" x14ac:dyDescent="0.35">
      <c r="A17" s="285"/>
      <c r="B17" s="281"/>
      <c r="C17" s="344"/>
      <c r="D17" s="286"/>
      <c r="E17" s="286"/>
      <c r="F17" s="331"/>
      <c r="G17" s="338"/>
      <c r="H17" s="332"/>
      <c r="K17" s="79"/>
      <c r="M17" s="352">
        <f>SUM(M12:M16)</f>
        <v>237255.55198383241</v>
      </c>
      <c r="N17" s="352">
        <f>SUM(N12:N16)</f>
        <v>103384.14935691762</v>
      </c>
      <c r="O17" s="353">
        <f t="shared" si="3"/>
        <v>340639.70134075003</v>
      </c>
      <c r="P17" s="391">
        <f>M17+N17-O17</f>
        <v>0</v>
      </c>
    </row>
    <row r="18" spans="1:16" ht="15.6" x14ac:dyDescent="0.3">
      <c r="A18" s="260"/>
      <c r="B18" s="274"/>
      <c r="C18" s="339"/>
      <c r="D18" s="340"/>
      <c r="E18" s="341"/>
      <c r="F18" s="342">
        <f>SUM(F12:F16)</f>
        <v>340639.70134075003</v>
      </c>
      <c r="G18" s="343">
        <f>SUM(G12:G16)</f>
        <v>85159.925335187509</v>
      </c>
      <c r="H18" s="332">
        <f>SUM(H12:H16)</f>
        <v>340639.7</v>
      </c>
    </row>
    <row r="19" spans="1:16" x14ac:dyDescent="0.3">
      <c r="A19" s="287" t="s">
        <v>246</v>
      </c>
      <c r="B19" s="274"/>
      <c r="C19" s="6"/>
      <c r="D19" s="6"/>
      <c r="E19" s="6"/>
      <c r="F19" s="32"/>
      <c r="G19" s="6"/>
      <c r="H19" s="266"/>
    </row>
    <row r="20" spans="1:16" x14ac:dyDescent="0.3">
      <c r="A20" s="290"/>
      <c r="B20" s="274"/>
      <c r="C20" s="6"/>
      <c r="D20" s="6"/>
      <c r="E20" s="6"/>
      <c r="F20" s="288" t="s">
        <v>247</v>
      </c>
      <c r="G20" s="288" t="s">
        <v>248</v>
      </c>
      <c r="H20" s="289" t="s">
        <v>190</v>
      </c>
      <c r="I20" s="377">
        <f>G8</f>
        <v>0.84758364312267653</v>
      </c>
      <c r="J20" s="377">
        <f>G7</f>
        <v>0.15241635687732341</v>
      </c>
      <c r="K20" s="68">
        <v>2025</v>
      </c>
      <c r="L20" s="68"/>
      <c r="M20" s="419" t="s">
        <v>316</v>
      </c>
      <c r="N20" s="420"/>
      <c r="O20" s="420"/>
      <c r="P20" s="421"/>
    </row>
    <row r="21" spans="1:16" x14ac:dyDescent="0.3">
      <c r="A21" s="264" t="s">
        <v>249</v>
      </c>
      <c r="B21" s="274"/>
      <c r="C21" s="6"/>
      <c r="D21" s="6"/>
      <c r="E21" s="265"/>
      <c r="F21" s="288" t="s">
        <v>297</v>
      </c>
      <c r="G21" s="288"/>
      <c r="H21" s="289"/>
      <c r="I21" s="354">
        <f>G9</f>
        <v>0</v>
      </c>
      <c r="J21" s="354">
        <f>G8</f>
        <v>0.84758364312267653</v>
      </c>
      <c r="K21" s="355" t="s">
        <v>292</v>
      </c>
      <c r="L21" s="356" t="s">
        <v>291</v>
      </c>
      <c r="M21" s="346">
        <f>M11</f>
        <v>0.69650000000000001</v>
      </c>
      <c r="N21" s="346">
        <f>N11</f>
        <v>0.30349999999999999</v>
      </c>
      <c r="O21" s="357" t="str">
        <f t="shared" ref="O21" si="5">K21</f>
        <v>CHECK</v>
      </c>
      <c r="P21" s="358" t="str">
        <f>L21</f>
        <v>Variance</v>
      </c>
    </row>
    <row r="22" spans="1:16" x14ac:dyDescent="0.3">
      <c r="A22" s="264"/>
      <c r="B22" s="291" t="s">
        <v>250</v>
      </c>
      <c r="C22" s="6" t="s">
        <v>251</v>
      </c>
      <c r="D22" s="6"/>
      <c r="E22" s="292"/>
      <c r="F22" s="293">
        <v>133.19999999999999</v>
      </c>
      <c r="G22" s="6">
        <f>E7</f>
        <v>41</v>
      </c>
      <c r="H22" s="294">
        <f>F22*G22</f>
        <v>5461.2</v>
      </c>
      <c r="I22" s="333">
        <f>H22*G$8</f>
        <v>4628.8237918215609</v>
      </c>
      <c r="J22" s="333">
        <f>H22-I22</f>
        <v>832.3762081784389</v>
      </c>
      <c r="K22" s="79">
        <f>SUM(I22:J22)</f>
        <v>5461.2</v>
      </c>
      <c r="L22" s="359">
        <f>H22-K22</f>
        <v>0</v>
      </c>
      <c r="M22" s="360">
        <f>K22-N22</f>
        <v>0</v>
      </c>
      <c r="N22" s="365">
        <f>H22</f>
        <v>5461.2</v>
      </c>
      <c r="O22" s="350">
        <f>SUM(M22:N22)</f>
        <v>5461.2</v>
      </c>
      <c r="P22" s="351">
        <f>K22-O22</f>
        <v>0</v>
      </c>
    </row>
    <row r="23" spans="1:16" x14ac:dyDescent="0.3">
      <c r="A23" s="264"/>
      <c r="B23" s="291" t="s">
        <v>250</v>
      </c>
      <c r="C23" s="6" t="s">
        <v>252</v>
      </c>
      <c r="D23" s="6"/>
      <c r="E23" s="292"/>
      <c r="F23" s="293">
        <v>85.57</v>
      </c>
      <c r="G23" s="6">
        <f>E8</f>
        <v>228</v>
      </c>
      <c r="H23" s="294">
        <f t="shared" ref="H23:H27" si="6">F23*G23</f>
        <v>19509.96</v>
      </c>
      <c r="I23" s="333">
        <f t="shared" ref="I23:I27" si="7">H23*G$8</f>
        <v>16536.322973977694</v>
      </c>
      <c r="J23" s="333">
        <f t="shared" ref="J23:J27" si="8">H23-I23</f>
        <v>2973.6370260223048</v>
      </c>
      <c r="K23" s="79">
        <f t="shared" ref="K23:K27" si="9">SUM(I23:J23)</f>
        <v>19509.96</v>
      </c>
      <c r="L23" s="359">
        <f t="shared" ref="L23:L27" si="10">H23-K23</f>
        <v>0</v>
      </c>
      <c r="M23" s="360">
        <f>K23-N23</f>
        <v>13588.68714</v>
      </c>
      <c r="N23" s="348">
        <f>H23*$N$21</f>
        <v>5921.2728599999991</v>
      </c>
      <c r="O23" s="350">
        <f>SUM(M23:N23)</f>
        <v>19509.96</v>
      </c>
      <c r="P23" s="351">
        <f t="shared" ref="P23:P27" si="11">K23-O23</f>
        <v>0</v>
      </c>
    </row>
    <row r="24" spans="1:16" x14ac:dyDescent="0.3">
      <c r="A24" s="264"/>
      <c r="B24" s="291" t="s">
        <v>250</v>
      </c>
      <c r="C24" s="6" t="s">
        <v>253</v>
      </c>
      <c r="D24" s="6"/>
      <c r="E24" s="292"/>
      <c r="F24" s="293">
        <v>100.5</v>
      </c>
      <c r="G24" s="6">
        <f>E9</f>
        <v>269</v>
      </c>
      <c r="H24" s="294">
        <f t="shared" si="6"/>
        <v>27034.5</v>
      </c>
      <c r="I24" s="333">
        <f t="shared" si="7"/>
        <v>22914</v>
      </c>
      <c r="J24" s="333">
        <f t="shared" si="8"/>
        <v>4120.5</v>
      </c>
      <c r="K24" s="79">
        <f t="shared" si="9"/>
        <v>27034.5</v>
      </c>
      <c r="L24" s="359">
        <f t="shared" si="10"/>
        <v>0</v>
      </c>
      <c r="M24" s="360">
        <f t="shared" ref="M24:M27" si="12">K24-N24</f>
        <v>18829.52925</v>
      </c>
      <c r="N24" s="348">
        <f t="shared" ref="N24:N27" si="13">H24*$N$21</f>
        <v>8204.9707500000004</v>
      </c>
      <c r="O24" s="350">
        <f t="shared" ref="O24:O27" si="14">SUM(M24:N24)</f>
        <v>27034.5</v>
      </c>
      <c r="P24" s="351">
        <f t="shared" si="11"/>
        <v>0</v>
      </c>
    </row>
    <row r="25" spans="1:16" x14ac:dyDescent="0.3">
      <c r="A25" s="264"/>
      <c r="B25" s="291" t="s">
        <v>250</v>
      </c>
      <c r="C25" s="6" t="s">
        <v>254</v>
      </c>
      <c r="D25" s="6"/>
      <c r="E25" s="292"/>
      <c r="F25" s="293">
        <v>72.599999999999994</v>
      </c>
      <c r="G25" s="6">
        <f>G24</f>
        <v>269</v>
      </c>
      <c r="H25" s="294">
        <f t="shared" si="6"/>
        <v>19529.399999999998</v>
      </c>
      <c r="I25" s="333">
        <f t="shared" si="7"/>
        <v>16552.799999999996</v>
      </c>
      <c r="J25" s="333">
        <f t="shared" si="8"/>
        <v>2976.6000000000022</v>
      </c>
      <c r="K25" s="79">
        <f t="shared" si="9"/>
        <v>19529.399999999998</v>
      </c>
      <c r="L25" s="359">
        <f t="shared" si="10"/>
        <v>0</v>
      </c>
      <c r="M25" s="360">
        <f t="shared" si="12"/>
        <v>13602.227099999998</v>
      </c>
      <c r="N25" s="348">
        <f t="shared" si="13"/>
        <v>5927.1728999999996</v>
      </c>
      <c r="O25" s="350">
        <f t="shared" si="14"/>
        <v>19529.399999999998</v>
      </c>
      <c r="P25" s="351">
        <f t="shared" si="11"/>
        <v>0</v>
      </c>
    </row>
    <row r="26" spans="1:16" x14ac:dyDescent="0.3">
      <c r="A26" s="264"/>
      <c r="B26" s="291" t="s">
        <v>250</v>
      </c>
      <c r="C26" s="6" t="s">
        <v>255</v>
      </c>
      <c r="D26" s="6"/>
      <c r="E26" s="292"/>
      <c r="F26" s="293">
        <v>207.05</v>
      </c>
      <c r="G26" s="6">
        <f>G25</f>
        <v>269</v>
      </c>
      <c r="H26" s="294">
        <f t="shared" si="6"/>
        <v>55696.450000000004</v>
      </c>
      <c r="I26" s="333">
        <f t="shared" si="7"/>
        <v>47207.4</v>
      </c>
      <c r="J26" s="333">
        <f t="shared" si="8"/>
        <v>8489.0500000000029</v>
      </c>
      <c r="K26" s="79">
        <f t="shared" si="9"/>
        <v>55696.450000000004</v>
      </c>
      <c r="L26" s="359">
        <f t="shared" si="10"/>
        <v>0</v>
      </c>
      <c r="M26" s="360">
        <f t="shared" si="12"/>
        <v>38792.577425000003</v>
      </c>
      <c r="N26" s="348">
        <f t="shared" si="13"/>
        <v>16903.872575000001</v>
      </c>
      <c r="O26" s="350">
        <f t="shared" si="14"/>
        <v>55696.450000000004</v>
      </c>
      <c r="P26" s="351">
        <f t="shared" si="11"/>
        <v>0</v>
      </c>
    </row>
    <row r="27" spans="1:16" ht="15" thickBot="1" x14ac:dyDescent="0.35">
      <c r="A27" s="269"/>
      <c r="B27" s="291" t="s">
        <v>250</v>
      </c>
      <c r="C27" s="295" t="s">
        <v>256</v>
      </c>
      <c r="D27" s="295"/>
      <c r="E27" s="296"/>
      <c r="F27" s="293">
        <v>15.02</v>
      </c>
      <c r="G27" s="297">
        <f>F9</f>
        <v>152</v>
      </c>
      <c r="H27" s="294">
        <f t="shared" si="6"/>
        <v>2283.04</v>
      </c>
      <c r="I27" s="333">
        <f t="shared" si="7"/>
        <v>1935.0673605947954</v>
      </c>
      <c r="J27" s="333">
        <f t="shared" si="8"/>
        <v>347.97263940520452</v>
      </c>
      <c r="K27" s="79">
        <f t="shared" si="9"/>
        <v>2283.04</v>
      </c>
      <c r="L27" s="359">
        <f t="shared" si="10"/>
        <v>0</v>
      </c>
      <c r="M27" s="360">
        <f t="shared" si="12"/>
        <v>1590.1373599999999</v>
      </c>
      <c r="N27" s="348">
        <f t="shared" si="13"/>
        <v>692.90264000000002</v>
      </c>
      <c r="O27" s="350">
        <f t="shared" si="14"/>
        <v>2283.04</v>
      </c>
      <c r="P27" s="351">
        <f t="shared" si="11"/>
        <v>0</v>
      </c>
    </row>
    <row r="28" spans="1:16" ht="15.6" thickTop="1" thickBot="1" x14ac:dyDescent="0.35">
      <c r="A28" s="264"/>
      <c r="B28" s="270"/>
      <c r="C28" s="271"/>
      <c r="D28" s="271"/>
      <c r="E28" s="271"/>
      <c r="F28" s="298">
        <f>SUM(F22:F27)</f>
        <v>613.94000000000005</v>
      </c>
      <c r="G28" s="272"/>
      <c r="H28" s="299">
        <f>SUM(H22:H27)</f>
        <v>129514.55</v>
      </c>
      <c r="I28" s="361">
        <f>SUM(I22:I27)</f>
        <v>109774.41412639404</v>
      </c>
      <c r="J28" s="361">
        <f t="shared" ref="J28:K28" si="15">SUM(J22:J27)</f>
        <v>19740.135873605956</v>
      </c>
      <c r="K28" s="362">
        <f t="shared" si="15"/>
        <v>129514.55</v>
      </c>
      <c r="L28" s="363">
        <f>SUM(L22:L27)</f>
        <v>0</v>
      </c>
      <c r="M28" s="390">
        <f>SUBTOTAL(9,M22:M27)</f>
        <v>86403.158274999994</v>
      </c>
      <c r="N28" s="390">
        <f t="shared" ref="N28:P28" si="16">SUBTOTAL(9,N22:N27)</f>
        <v>43111.391725000001</v>
      </c>
      <c r="O28" s="364">
        <f t="shared" si="16"/>
        <v>129514.55</v>
      </c>
      <c r="P28" s="364">
        <f t="shared" si="16"/>
        <v>0</v>
      </c>
    </row>
    <row r="29" spans="1:16" ht="15" thickTop="1" x14ac:dyDescent="0.3">
      <c r="A29" s="287" t="s">
        <v>257</v>
      </c>
      <c r="B29" s="261"/>
      <c r="C29" s="6"/>
      <c r="D29" s="6"/>
      <c r="E29" s="265"/>
      <c r="F29" s="265"/>
      <c r="G29" s="265"/>
      <c r="H29" s="294"/>
      <c r="I29" s="378">
        <f>I20</f>
        <v>0.84758364312267653</v>
      </c>
      <c r="J29" s="378">
        <f>J20</f>
        <v>0.15241635687732341</v>
      </c>
      <c r="K29" s="79"/>
      <c r="M29" s="366"/>
      <c r="N29" s="367"/>
      <c r="O29" s="350"/>
      <c r="P29" s="368"/>
    </row>
    <row r="30" spans="1:16" x14ac:dyDescent="0.3">
      <c r="A30" s="290"/>
      <c r="B30" s="274"/>
      <c r="C30" s="6"/>
      <c r="D30" s="6"/>
      <c r="E30" s="300"/>
      <c r="F30" s="288" t="str">
        <f>F21</f>
        <v>2025-26</v>
      </c>
      <c r="G30" s="288" t="s">
        <v>248</v>
      </c>
      <c r="H30" s="301" t="s">
        <v>190</v>
      </c>
      <c r="I30" s="369"/>
      <c r="J30" s="369"/>
      <c r="K30" s="370" t="str">
        <f t="shared" ref="K30:L30" si="17">K21</f>
        <v>CHECK</v>
      </c>
      <c r="L30" s="369" t="str">
        <f t="shared" si="17"/>
        <v>Variance</v>
      </c>
      <c r="M30" s="346">
        <f>M21</f>
        <v>0.69650000000000001</v>
      </c>
      <c r="N30" s="346">
        <f>N21</f>
        <v>0.30349999999999999</v>
      </c>
      <c r="O30" s="347" t="str">
        <f t="shared" ref="O30:P30" si="18">O21</f>
        <v>CHECK</v>
      </c>
      <c r="P30" s="347" t="str">
        <f t="shared" si="18"/>
        <v>Variance</v>
      </c>
    </row>
    <row r="31" spans="1:16" x14ac:dyDescent="0.3">
      <c r="A31" s="264" t="s">
        <v>249</v>
      </c>
      <c r="B31" s="291" t="s">
        <v>258</v>
      </c>
      <c r="C31" s="6" t="s">
        <v>259</v>
      </c>
      <c r="D31" s="6"/>
      <c r="E31" s="302"/>
      <c r="F31" s="303">
        <v>18.615580000000001</v>
      </c>
      <c r="G31" s="6">
        <f>E9</f>
        <v>269</v>
      </c>
      <c r="H31" s="294">
        <f>F31*G31</f>
        <v>5007.5910200000008</v>
      </c>
      <c r="I31" s="333">
        <f>H31*G$8</f>
        <v>4244.3522400000002</v>
      </c>
      <c r="J31" s="333">
        <f>H31-I31</f>
        <v>763.23878000000059</v>
      </c>
      <c r="K31" s="79">
        <f t="shared" ref="K31" si="19">SUM(I31:J31)</f>
        <v>5007.5910200000008</v>
      </c>
      <c r="L31" s="359">
        <f t="shared" ref="L31:L41" si="20">H31-K31</f>
        <v>0</v>
      </c>
      <c r="M31" s="360">
        <f>K31-N31</f>
        <v>3855.8450853999998</v>
      </c>
      <c r="N31" s="348">
        <f>J31/$J$29*23%</f>
        <v>1151.745934600001</v>
      </c>
      <c r="O31" s="350">
        <f>SUM(M31:N31)</f>
        <v>5007.5910200000008</v>
      </c>
      <c r="P31" s="351">
        <f>K31-O31</f>
        <v>0</v>
      </c>
    </row>
    <row r="32" spans="1:16" x14ac:dyDescent="0.3">
      <c r="A32" s="264"/>
      <c r="B32" s="261"/>
      <c r="C32" s="6" t="s">
        <v>260</v>
      </c>
      <c r="D32" s="6"/>
      <c r="E32" s="302"/>
      <c r="F32" s="303">
        <v>174.14</v>
      </c>
      <c r="G32" s="6">
        <f>G31</f>
        <v>269</v>
      </c>
      <c r="H32" s="294">
        <f t="shared" ref="H32:H43" si="21">F32*G32</f>
        <v>46843.659999999996</v>
      </c>
      <c r="I32" s="333">
        <f t="shared" ref="I32:I41" si="22">H32*G$8</f>
        <v>39703.919999999991</v>
      </c>
      <c r="J32" s="333">
        <f t="shared" ref="J32:J41" si="23">H32-I32</f>
        <v>7139.7400000000052</v>
      </c>
      <c r="K32" s="79">
        <f t="shared" ref="K32:K41" si="24">SUM(I32:J32)</f>
        <v>46843.659999999996</v>
      </c>
      <c r="L32" s="359">
        <f t="shared" si="20"/>
        <v>0</v>
      </c>
      <c r="M32" s="360">
        <f t="shared" ref="M32:M41" si="25">K32-N32</f>
        <v>36069.618199999983</v>
      </c>
      <c r="N32" s="348">
        <f t="shared" ref="N32:N41" si="26">J32/$J$29*23%</f>
        <v>10774.04180000001</v>
      </c>
      <c r="O32" s="350">
        <f t="shared" ref="O32:O41" si="27">SUM(M32:N32)</f>
        <v>46843.659999999989</v>
      </c>
      <c r="P32" s="351">
        <f t="shared" ref="P32:P41" si="28">K32-O32</f>
        <v>0</v>
      </c>
    </row>
    <row r="33" spans="1:16" x14ac:dyDescent="0.3">
      <c r="A33" s="264"/>
      <c r="B33" s="261"/>
      <c r="C33" s="6" t="s">
        <v>68</v>
      </c>
      <c r="D33" s="6"/>
      <c r="E33" s="302"/>
      <c r="F33" s="303">
        <v>1.7259856</v>
      </c>
      <c r="G33" s="6">
        <f>G32</f>
        <v>269</v>
      </c>
      <c r="H33" s="294">
        <f t="shared" si="21"/>
        <v>464.29012640000002</v>
      </c>
      <c r="I33" s="333">
        <f t="shared" si="22"/>
        <v>393.52471680000002</v>
      </c>
      <c r="J33" s="333">
        <f t="shared" si="23"/>
        <v>70.765409599999998</v>
      </c>
      <c r="K33" s="79">
        <f t="shared" si="24"/>
        <v>464.29012640000002</v>
      </c>
      <c r="L33" s="359">
        <f t="shared" si="20"/>
        <v>0</v>
      </c>
      <c r="M33" s="360">
        <f t="shared" si="25"/>
        <v>357.50339732800001</v>
      </c>
      <c r="N33" s="348">
        <f t="shared" si="26"/>
        <v>106.78672907200001</v>
      </c>
      <c r="O33" s="350">
        <f t="shared" si="27"/>
        <v>464.29012640000002</v>
      </c>
      <c r="P33" s="351">
        <f t="shared" si="28"/>
        <v>0</v>
      </c>
    </row>
    <row r="34" spans="1:16" x14ac:dyDescent="0.3">
      <c r="A34" s="264"/>
      <c r="B34" s="291" t="s">
        <v>261</v>
      </c>
      <c r="C34" s="6" t="s">
        <v>262</v>
      </c>
      <c r="D34" s="6"/>
      <c r="E34" s="302"/>
      <c r="F34" s="303">
        <v>104.83489</v>
      </c>
      <c r="G34" s="6">
        <f>G33</f>
        <v>269</v>
      </c>
      <c r="H34" s="294">
        <f t="shared" si="21"/>
        <v>28200.58541</v>
      </c>
      <c r="I34" s="333">
        <f t="shared" si="22"/>
        <v>23902.354919999998</v>
      </c>
      <c r="J34" s="333">
        <f t="shared" si="23"/>
        <v>4298.2304900000017</v>
      </c>
      <c r="K34" s="79">
        <f t="shared" si="24"/>
        <v>28200.58541</v>
      </c>
      <c r="L34" s="359">
        <f t="shared" si="20"/>
        <v>0</v>
      </c>
      <c r="M34" s="360">
        <f t="shared" si="25"/>
        <v>21714.450765699996</v>
      </c>
      <c r="N34" s="348">
        <f t="shared" si="26"/>
        <v>6486.1346443000039</v>
      </c>
      <c r="O34" s="350">
        <f t="shared" si="27"/>
        <v>28200.58541</v>
      </c>
      <c r="P34" s="351">
        <f t="shared" si="28"/>
        <v>0</v>
      </c>
    </row>
    <row r="35" spans="1:16" x14ac:dyDescent="0.3">
      <c r="A35" s="264"/>
      <c r="B35" s="291" t="s">
        <v>263</v>
      </c>
      <c r="C35" s="6" t="s">
        <v>69</v>
      </c>
      <c r="D35" s="6"/>
      <c r="E35" s="302"/>
      <c r="F35" s="303">
        <v>18.314924000000001</v>
      </c>
      <c r="G35" s="6">
        <f>G34</f>
        <v>269</v>
      </c>
      <c r="H35" s="294">
        <f t="shared" si="21"/>
        <v>4926.7145559999999</v>
      </c>
      <c r="I35" s="333">
        <f t="shared" si="22"/>
        <v>4175.8026719999998</v>
      </c>
      <c r="J35" s="333">
        <f t="shared" si="23"/>
        <v>750.9118840000001</v>
      </c>
      <c r="K35" s="79">
        <f t="shared" si="24"/>
        <v>4926.7145559999999</v>
      </c>
      <c r="L35" s="359">
        <f t="shared" si="20"/>
        <v>0</v>
      </c>
      <c r="M35" s="360">
        <f t="shared" si="25"/>
        <v>3793.5702081199997</v>
      </c>
      <c r="N35" s="348">
        <f t="shared" si="26"/>
        <v>1133.1443478800002</v>
      </c>
      <c r="O35" s="350">
        <f t="shared" si="27"/>
        <v>4926.7145559999999</v>
      </c>
      <c r="P35" s="351">
        <f t="shared" si="28"/>
        <v>0</v>
      </c>
    </row>
    <row r="36" spans="1:16" x14ac:dyDescent="0.3">
      <c r="A36" s="264"/>
      <c r="B36" s="291" t="s">
        <v>264</v>
      </c>
      <c r="C36" s="6" t="s">
        <v>265</v>
      </c>
      <c r="D36" s="6"/>
      <c r="E36" s="302"/>
      <c r="F36" s="303">
        <v>254.89</v>
      </c>
      <c r="G36" s="6">
        <f>G35</f>
        <v>269</v>
      </c>
      <c r="H36" s="294">
        <f t="shared" si="21"/>
        <v>68565.41</v>
      </c>
      <c r="I36" s="333">
        <f t="shared" si="22"/>
        <v>58114.92</v>
      </c>
      <c r="J36" s="333">
        <f t="shared" si="23"/>
        <v>10450.490000000005</v>
      </c>
      <c r="K36" s="79">
        <f t="shared" si="24"/>
        <v>68565.41</v>
      </c>
      <c r="L36" s="359">
        <f t="shared" si="20"/>
        <v>0</v>
      </c>
      <c r="M36" s="392">
        <f t="shared" si="25"/>
        <v>52795.365699999995</v>
      </c>
      <c r="N36" s="349">
        <f t="shared" si="26"/>
        <v>15770.044300000009</v>
      </c>
      <c r="O36" s="350">
        <f t="shared" si="27"/>
        <v>68565.41</v>
      </c>
      <c r="P36" s="351">
        <f t="shared" si="28"/>
        <v>0</v>
      </c>
    </row>
    <row r="37" spans="1:16" x14ac:dyDescent="0.3">
      <c r="A37" s="264"/>
      <c r="B37" s="291" t="s">
        <v>266</v>
      </c>
      <c r="C37" s="6" t="s">
        <v>267</v>
      </c>
      <c r="D37" s="6"/>
      <c r="E37" s="302"/>
      <c r="F37" s="303">
        <v>255.15</v>
      </c>
      <c r="G37" s="6">
        <f>E7</f>
        <v>41</v>
      </c>
      <c r="H37" s="294">
        <f t="shared" si="21"/>
        <v>10461.15</v>
      </c>
      <c r="I37" s="333">
        <f t="shared" si="22"/>
        <v>8866.6996282527871</v>
      </c>
      <c r="J37" s="333">
        <f t="shared" si="23"/>
        <v>1594.4503717472126</v>
      </c>
      <c r="K37" s="79">
        <f t="shared" si="24"/>
        <v>10461.15</v>
      </c>
      <c r="L37" s="359">
        <f t="shared" si="20"/>
        <v>0</v>
      </c>
      <c r="M37" s="360">
        <f t="shared" si="25"/>
        <v>0</v>
      </c>
      <c r="N37" s="348">
        <f>J37/$J$29*100%</f>
        <v>10461.150000000005</v>
      </c>
      <c r="O37" s="350">
        <f t="shared" si="27"/>
        <v>10461.150000000005</v>
      </c>
      <c r="P37" s="351">
        <f t="shared" si="28"/>
        <v>0</v>
      </c>
    </row>
    <row r="38" spans="1:16" x14ac:dyDescent="0.3">
      <c r="A38" s="264"/>
      <c r="B38" s="291"/>
      <c r="C38" s="6" t="s">
        <v>268</v>
      </c>
      <c r="D38" s="6"/>
      <c r="E38" s="302"/>
      <c r="F38" s="303">
        <v>0</v>
      </c>
      <c r="G38" s="6">
        <v>0</v>
      </c>
      <c r="H38" s="294">
        <v>376</v>
      </c>
      <c r="I38" s="333">
        <f t="shared" si="22"/>
        <v>318.69144981412637</v>
      </c>
      <c r="J38" s="333">
        <f t="shared" si="23"/>
        <v>57.308550185873628</v>
      </c>
      <c r="K38" s="79">
        <f t="shared" si="24"/>
        <v>376</v>
      </c>
      <c r="L38" s="359">
        <f t="shared" si="20"/>
        <v>0</v>
      </c>
      <c r="M38" s="360">
        <f t="shared" si="25"/>
        <v>0</v>
      </c>
      <c r="N38" s="348">
        <f>J38/$J$29*100%</f>
        <v>376.00000000000017</v>
      </c>
      <c r="O38" s="350">
        <f t="shared" si="27"/>
        <v>376.00000000000017</v>
      </c>
      <c r="P38" s="351">
        <f t="shared" si="28"/>
        <v>0</v>
      </c>
    </row>
    <row r="39" spans="1:16" x14ac:dyDescent="0.3">
      <c r="A39" s="264"/>
      <c r="B39" s="291"/>
      <c r="C39" s="6" t="s">
        <v>269</v>
      </c>
      <c r="D39" s="6"/>
      <c r="E39" s="302"/>
      <c r="F39" s="303">
        <v>0</v>
      </c>
      <c r="G39" s="6">
        <v>0</v>
      </c>
      <c r="H39" s="294">
        <v>71</v>
      </c>
      <c r="I39" s="333">
        <f t="shared" si="22"/>
        <v>60.178438661710032</v>
      </c>
      <c r="J39" s="333">
        <f t="shared" si="23"/>
        <v>10.821561338289968</v>
      </c>
      <c r="K39" s="79">
        <f t="shared" si="24"/>
        <v>71</v>
      </c>
      <c r="L39" s="359">
        <f t="shared" si="20"/>
        <v>0</v>
      </c>
      <c r="M39" s="360">
        <f t="shared" si="25"/>
        <v>54.669999999999987</v>
      </c>
      <c r="N39" s="348">
        <f t="shared" si="26"/>
        <v>16.330000000000009</v>
      </c>
      <c r="O39" s="350">
        <f t="shared" si="27"/>
        <v>71</v>
      </c>
      <c r="P39" s="351">
        <f t="shared" si="28"/>
        <v>0</v>
      </c>
    </row>
    <row r="40" spans="1:16" x14ac:dyDescent="0.3">
      <c r="A40" s="264"/>
      <c r="B40" s="291"/>
      <c r="C40" s="6" t="s">
        <v>270</v>
      </c>
      <c r="D40" s="6"/>
      <c r="E40" s="302"/>
      <c r="F40" s="303">
        <v>7990.55</v>
      </c>
      <c r="G40" s="6">
        <v>2</v>
      </c>
      <c r="H40" s="294">
        <f t="shared" si="21"/>
        <v>15981.1</v>
      </c>
      <c r="I40" s="333">
        <f t="shared" si="22"/>
        <v>13545.318959107806</v>
      </c>
      <c r="J40" s="333">
        <f t="shared" si="23"/>
        <v>2435.7810408921941</v>
      </c>
      <c r="K40" s="79">
        <f t="shared" si="24"/>
        <v>15981.1</v>
      </c>
      <c r="L40" s="359">
        <f t="shared" si="20"/>
        <v>0</v>
      </c>
      <c r="M40" s="360">
        <f t="shared" si="25"/>
        <v>0</v>
      </c>
      <c r="N40" s="393">
        <f>H40</f>
        <v>15981.1</v>
      </c>
      <c r="O40" s="350">
        <f t="shared" si="27"/>
        <v>15981.1</v>
      </c>
      <c r="P40" s="351">
        <f t="shared" si="28"/>
        <v>0</v>
      </c>
    </row>
    <row r="41" spans="1:16" x14ac:dyDescent="0.3">
      <c r="A41" s="264"/>
      <c r="B41" s="291" t="s">
        <v>271</v>
      </c>
      <c r="C41" s="6" t="s">
        <v>272</v>
      </c>
      <c r="D41" s="6"/>
      <c r="E41" s="302"/>
      <c r="F41" s="303">
        <v>12.7</v>
      </c>
      <c r="G41" s="6">
        <f>G34</f>
        <v>269</v>
      </c>
      <c r="H41" s="294">
        <f t="shared" si="21"/>
        <v>3416.2999999999997</v>
      </c>
      <c r="I41" s="333">
        <f t="shared" si="22"/>
        <v>2895.5999999999995</v>
      </c>
      <c r="J41" s="333">
        <f t="shared" si="23"/>
        <v>520.70000000000027</v>
      </c>
      <c r="K41" s="79">
        <f t="shared" si="24"/>
        <v>3416.2999999999997</v>
      </c>
      <c r="L41" s="359">
        <f t="shared" si="20"/>
        <v>0</v>
      </c>
      <c r="M41" s="360">
        <f t="shared" si="25"/>
        <v>2630.5509999999995</v>
      </c>
      <c r="N41" s="348">
        <f t="shared" si="26"/>
        <v>785.74900000000048</v>
      </c>
      <c r="O41" s="350">
        <f t="shared" si="27"/>
        <v>3416.3</v>
      </c>
      <c r="P41" s="351">
        <f t="shared" si="28"/>
        <v>0</v>
      </c>
    </row>
    <row r="42" spans="1:16" x14ac:dyDescent="0.3">
      <c r="A42" s="264"/>
      <c r="B42" s="291"/>
      <c r="C42" s="6" t="s">
        <v>273</v>
      </c>
      <c r="D42" s="6"/>
      <c r="E42" s="302"/>
      <c r="F42" s="303">
        <v>4.41</v>
      </c>
      <c r="G42" s="6">
        <f>G41</f>
        <v>269</v>
      </c>
      <c r="H42" s="294">
        <f t="shared" si="21"/>
        <v>1186.29</v>
      </c>
      <c r="I42" s="333">
        <f t="shared" ref="I42:I43" si="29">H42*G$8</f>
        <v>1005.4799999999999</v>
      </c>
      <c r="J42" s="333">
        <f t="shared" ref="J42:J44" si="30">H42-I42</f>
        <v>180.81000000000006</v>
      </c>
      <c r="K42" s="79">
        <f t="shared" ref="K42:K44" si="31">SUM(I42:J42)</f>
        <v>1186.29</v>
      </c>
      <c r="L42" s="359">
        <f t="shared" ref="L42:L44" si="32">H42-K42</f>
        <v>0</v>
      </c>
      <c r="M42" s="360">
        <f t="shared" ref="M42:M44" si="33">K42-N42</f>
        <v>913.44329999999991</v>
      </c>
      <c r="N42" s="348">
        <f t="shared" ref="N42:N44" si="34">J42/$J$29*23%</f>
        <v>272.84670000000011</v>
      </c>
      <c r="O42" s="350">
        <f t="shared" ref="O42:O44" si="35">SUM(M42:N42)</f>
        <v>1186.29</v>
      </c>
      <c r="P42" s="351">
        <f t="shared" ref="P42:P44" si="36">K42-O42</f>
        <v>0</v>
      </c>
    </row>
    <row r="43" spans="1:16" ht="15" thickBot="1" x14ac:dyDescent="0.35">
      <c r="A43" s="269"/>
      <c r="B43" s="291" t="s">
        <v>274</v>
      </c>
      <c r="C43" s="6" t="s">
        <v>235</v>
      </c>
      <c r="D43" s="6"/>
      <c r="E43" s="302"/>
      <c r="F43" s="303">
        <v>29.03</v>
      </c>
      <c r="G43" s="6">
        <f>F9</f>
        <v>152</v>
      </c>
      <c r="H43" s="294">
        <f t="shared" si="21"/>
        <v>4412.5600000000004</v>
      </c>
      <c r="I43" s="333">
        <f t="shared" si="29"/>
        <v>3740.013680297398</v>
      </c>
      <c r="J43" s="333">
        <f t="shared" si="30"/>
        <v>672.54631970260243</v>
      </c>
      <c r="K43" s="79">
        <f t="shared" si="31"/>
        <v>4412.5600000000004</v>
      </c>
      <c r="L43" s="359">
        <f t="shared" si="32"/>
        <v>0</v>
      </c>
      <c r="M43" s="360">
        <f t="shared" si="33"/>
        <v>3397.6711999999998</v>
      </c>
      <c r="N43" s="348">
        <f t="shared" si="34"/>
        <v>1014.8888000000004</v>
      </c>
      <c r="O43" s="350">
        <f t="shared" si="35"/>
        <v>4412.5600000000004</v>
      </c>
      <c r="P43" s="351">
        <f t="shared" si="36"/>
        <v>0</v>
      </c>
    </row>
    <row r="44" spans="1:16" ht="15.6" thickTop="1" thickBot="1" x14ac:dyDescent="0.35">
      <c r="A44" s="264"/>
      <c r="B44" s="270"/>
      <c r="C44" s="271"/>
      <c r="D44" s="271"/>
      <c r="E44" s="304" t="s">
        <v>190</v>
      </c>
      <c r="F44" s="305">
        <f>SUM(F31:F43)</f>
        <v>8864.3613796000009</v>
      </c>
      <c r="G44" s="272"/>
      <c r="H44" s="299">
        <f>SUM(H31:H43)</f>
        <v>189912.65111240002</v>
      </c>
      <c r="I44" s="382">
        <f>SUM(I31:I43)</f>
        <v>160966.85670493383</v>
      </c>
      <c r="J44" s="383">
        <f t="shared" si="30"/>
        <v>28945.794407466194</v>
      </c>
      <c r="K44" s="384">
        <f t="shared" si="31"/>
        <v>189912.65111240002</v>
      </c>
      <c r="L44" s="385">
        <f t="shared" si="32"/>
        <v>0</v>
      </c>
      <c r="M44" s="386">
        <f t="shared" si="33"/>
        <v>146232.74135654798</v>
      </c>
      <c r="N44" s="387">
        <f t="shared" si="34"/>
        <v>43679.909755852044</v>
      </c>
      <c r="O44" s="388">
        <f t="shared" si="35"/>
        <v>189912.65111240002</v>
      </c>
      <c r="P44" s="389">
        <f t="shared" si="36"/>
        <v>0</v>
      </c>
    </row>
    <row r="45" spans="1:16" ht="15" thickTop="1" x14ac:dyDescent="0.3">
      <c r="A45" s="287" t="s">
        <v>244</v>
      </c>
      <c r="B45" s="261"/>
      <c r="C45" s="6"/>
      <c r="D45" s="6"/>
      <c r="E45" s="306"/>
      <c r="F45" s="303"/>
      <c r="G45" s="6"/>
      <c r="H45" s="307"/>
      <c r="N45" s="69">
        <f>N44-N40-N36</f>
        <v>11928.765455852037</v>
      </c>
    </row>
    <row r="46" spans="1:16" x14ac:dyDescent="0.3">
      <c r="A46" s="290"/>
      <c r="B46" s="261"/>
      <c r="C46" s="6"/>
      <c r="D46" s="6"/>
      <c r="E46" s="288" t="s">
        <v>275</v>
      </c>
      <c r="F46" s="308" t="s">
        <v>276</v>
      </c>
      <c r="G46" s="288" t="s">
        <v>277</v>
      </c>
      <c r="H46" s="301" t="s">
        <v>190</v>
      </c>
      <c r="I46" s="369"/>
      <c r="J46" s="369"/>
      <c r="K46" s="370">
        <f>K31</f>
        <v>5007.5910200000008</v>
      </c>
      <c r="L46" s="369">
        <f>L31</f>
        <v>0</v>
      </c>
      <c r="M46" s="346">
        <f>M30</f>
        <v>0.69650000000000001</v>
      </c>
      <c r="N46" s="346">
        <f>N30</f>
        <v>0.30349999999999999</v>
      </c>
      <c r="O46" s="347" t="str">
        <f>O30</f>
        <v>CHECK</v>
      </c>
      <c r="P46" s="347" t="str">
        <f>P30</f>
        <v>Variance</v>
      </c>
    </row>
    <row r="47" spans="1:16" ht="15" thickBot="1" x14ac:dyDescent="0.35">
      <c r="A47" s="269"/>
      <c r="B47" s="261"/>
      <c r="C47" s="6"/>
      <c r="D47" s="6"/>
      <c r="E47" s="292">
        <v>8507.67</v>
      </c>
      <c r="F47" s="303">
        <v>16.774252149999999</v>
      </c>
      <c r="G47" s="6">
        <f>+E9</f>
        <v>269</v>
      </c>
      <c r="H47" s="307">
        <f>E47+F47*G47</f>
        <v>13019.943828349999</v>
      </c>
      <c r="I47" s="333">
        <f t="shared" ref="I47" si="37">H47*G$8</f>
        <v>11035.491423285501</v>
      </c>
      <c r="J47" s="333">
        <f t="shared" ref="J47" si="38">H47-I47</f>
        <v>1984.4524050644977</v>
      </c>
      <c r="K47" s="79">
        <f t="shared" ref="K47" si="39">SUM(I47:J47)</f>
        <v>13019.943828349999</v>
      </c>
      <c r="L47" s="359">
        <f t="shared" ref="L47" si="40">H47-K47</f>
        <v>0</v>
      </c>
      <c r="M47" s="360">
        <f t="shared" ref="M47" si="41">K47-N47</f>
        <v>10025.356747829499</v>
      </c>
      <c r="N47" s="349">
        <f t="shared" ref="N47" si="42">J47/$J$29*23%</f>
        <v>2994.5870805205</v>
      </c>
      <c r="O47" s="350">
        <f t="shared" ref="O47" si="43">SUM(M47:N47)</f>
        <v>13019.943828349999</v>
      </c>
      <c r="P47" s="351">
        <f t="shared" ref="P47" si="44">K47-O47</f>
        <v>0</v>
      </c>
    </row>
    <row r="48" spans="1:16" ht="15.6" thickTop="1" thickBot="1" x14ac:dyDescent="0.35">
      <c r="A48" s="287" t="s">
        <v>245</v>
      </c>
      <c r="B48" s="309"/>
      <c r="C48" s="271"/>
      <c r="D48" s="271"/>
      <c r="E48" s="271"/>
      <c r="F48" s="310"/>
      <c r="G48" s="271"/>
      <c r="H48" s="311"/>
    </row>
    <row r="49" spans="1:16" ht="15.6" thickTop="1" thickBot="1" x14ac:dyDescent="0.35">
      <c r="A49" s="312"/>
      <c r="B49" s="291" t="s">
        <v>278</v>
      </c>
      <c r="C49" s="6"/>
      <c r="D49" s="6"/>
      <c r="E49" s="6"/>
      <c r="F49" s="303">
        <v>30.4556</v>
      </c>
      <c r="G49" s="6">
        <f>+E9</f>
        <v>269</v>
      </c>
      <c r="H49" s="307">
        <f>F49*G49</f>
        <v>8192.5563999999995</v>
      </c>
      <c r="I49" s="333">
        <f t="shared" ref="I49" si="45">H49*G$8</f>
        <v>6943.8767999999991</v>
      </c>
      <c r="J49" s="333">
        <f t="shared" ref="J49" si="46">H49-I49</f>
        <v>1248.6796000000004</v>
      </c>
      <c r="K49" s="79">
        <f t="shared" ref="K49" si="47">SUM(I49:J49)</f>
        <v>8192.5563999999995</v>
      </c>
      <c r="L49" s="359">
        <f t="shared" ref="L49" si="48">H49-K49</f>
        <v>0</v>
      </c>
      <c r="M49" s="371">
        <f t="shared" ref="M49" si="49">K49-N49</f>
        <v>6308.2684279999985</v>
      </c>
      <c r="N49" s="372">
        <f t="shared" ref="N49" si="50">J49/$J$29*23%</f>
        <v>1884.2879720000008</v>
      </c>
      <c r="O49" s="373">
        <f t="shared" ref="O49" si="51">SUM(M49:N49)</f>
        <v>8192.5563999999995</v>
      </c>
      <c r="P49" s="374">
        <f t="shared" ref="P49" si="52">K49-O49</f>
        <v>0</v>
      </c>
    </row>
    <row r="50" spans="1:16" ht="15.6" thickTop="1" thickBot="1" x14ac:dyDescent="0.35">
      <c r="A50" s="314"/>
      <c r="B50" s="309"/>
      <c r="C50" s="271"/>
      <c r="D50" s="271"/>
      <c r="E50" s="271"/>
      <c r="F50" s="271"/>
      <c r="G50" s="271"/>
      <c r="H50" s="313"/>
      <c r="K50" s="79"/>
      <c r="M50" s="375">
        <f>SUBTOTAL(9,M49)</f>
        <v>6308.2684279999985</v>
      </c>
      <c r="N50" s="375">
        <f t="shared" ref="N50:P50" si="53">SUBTOTAL(9,N49)</f>
        <v>1884.2879720000008</v>
      </c>
      <c r="O50" s="375">
        <f t="shared" si="53"/>
        <v>8192.5563999999995</v>
      </c>
      <c r="P50" s="375">
        <f t="shared" si="53"/>
        <v>0</v>
      </c>
    </row>
    <row r="51" spans="1:16" ht="15.6" thickTop="1" thickBot="1" x14ac:dyDescent="0.35">
      <c r="A51" s="318"/>
      <c r="B51" s="315"/>
      <c r="C51" s="316"/>
      <c r="D51" s="316"/>
      <c r="E51" s="316"/>
      <c r="F51" s="316"/>
      <c r="G51" s="316"/>
      <c r="H51" s="317"/>
      <c r="K51" s="79"/>
      <c r="L51" s="79" t="s">
        <v>293</v>
      </c>
      <c r="M51" s="376">
        <f>M28+M44+M47+M50</f>
        <v>248969.52480737749</v>
      </c>
      <c r="N51" s="376">
        <f>N28+N44+N47+N50</f>
        <v>91670.176533372549</v>
      </c>
      <c r="O51" s="376">
        <f>O28+O44+O47+O50</f>
        <v>340639.70134075003</v>
      </c>
      <c r="P51" s="376">
        <f t="shared" ref="P51" si="54">SUBTOTAL(9,P23:P50)</f>
        <v>0</v>
      </c>
    </row>
    <row r="52" spans="1:16" x14ac:dyDescent="0.3">
      <c r="A52" s="319"/>
      <c r="B52" s="261"/>
      <c r="C52" s="6"/>
      <c r="D52" s="6"/>
      <c r="E52" s="6"/>
      <c r="F52" s="6"/>
      <c r="G52" s="6"/>
      <c r="H52" s="266"/>
    </row>
    <row r="53" spans="1:16" x14ac:dyDescent="0.3">
      <c r="A53" s="321" t="s">
        <v>279</v>
      </c>
      <c r="B53" s="261"/>
      <c r="C53" s="6"/>
      <c r="D53" s="6"/>
      <c r="E53" s="6"/>
      <c r="F53" s="320"/>
      <c r="G53" s="6"/>
      <c r="H53" s="266"/>
    </row>
    <row r="54" spans="1:16" x14ac:dyDescent="0.3">
      <c r="A54" s="322" t="s">
        <v>280</v>
      </c>
      <c r="B54" s="261"/>
      <c r="C54" s="6"/>
      <c r="D54" s="6"/>
      <c r="E54" s="6"/>
      <c r="F54" s="6"/>
      <c r="G54" s="6"/>
      <c r="H54" s="266"/>
      <c r="M54" s="359">
        <f>M51-M28-M36</f>
        <v>109771.0008323775</v>
      </c>
    </row>
    <row r="55" spans="1:16" x14ac:dyDescent="0.3">
      <c r="A55" s="322" t="s">
        <v>281</v>
      </c>
      <c r="B55" s="261"/>
      <c r="C55" s="6"/>
      <c r="D55" s="6"/>
      <c r="E55" s="6"/>
      <c r="F55" s="6"/>
      <c r="G55" s="303"/>
      <c r="H55" s="266"/>
    </row>
    <row r="56" spans="1:16" x14ac:dyDescent="0.3">
      <c r="A56" s="322" t="s">
        <v>282</v>
      </c>
      <c r="B56" s="261"/>
      <c r="C56" s="6"/>
      <c r="D56" s="6"/>
      <c r="E56" s="6"/>
      <c r="F56" s="6"/>
      <c r="G56" s="303"/>
      <c r="H56" s="266"/>
    </row>
    <row r="57" spans="1:16" x14ac:dyDescent="0.3">
      <c r="A57" s="322" t="s">
        <v>283</v>
      </c>
      <c r="B57" s="261"/>
      <c r="C57" s="6"/>
      <c r="D57" s="6"/>
      <c r="E57" s="6"/>
      <c r="F57" s="6"/>
      <c r="G57" s="303"/>
      <c r="H57" s="266"/>
    </row>
    <row r="58" spans="1:16" x14ac:dyDescent="0.3">
      <c r="A58" s="322" t="s">
        <v>284</v>
      </c>
      <c r="B58" s="261"/>
      <c r="C58" s="6"/>
      <c r="D58" s="6"/>
      <c r="E58" s="6"/>
      <c r="F58" s="6"/>
      <c r="G58" s="303"/>
      <c r="H58" s="266"/>
    </row>
    <row r="59" spans="1:16" x14ac:dyDescent="0.3">
      <c r="A59" s="324" t="s">
        <v>315</v>
      </c>
      <c r="B59" s="261"/>
      <c r="C59" s="6"/>
      <c r="D59" s="6"/>
      <c r="E59" s="6"/>
      <c r="F59" s="6"/>
      <c r="G59" s="323"/>
      <c r="H59" s="266"/>
    </row>
    <row r="60" spans="1:16" x14ac:dyDescent="0.3">
      <c r="A60" s="32" t="s">
        <v>286</v>
      </c>
      <c r="B60" s="325" t="s">
        <v>285</v>
      </c>
      <c r="C60" s="6"/>
      <c r="D60" s="6"/>
      <c r="E60" s="6"/>
      <c r="F60" s="6"/>
      <c r="G60" s="6"/>
      <c r="H60" s="266"/>
    </row>
    <row r="61" spans="1:16" x14ac:dyDescent="0.3">
      <c r="A61" s="322"/>
      <c r="B61" s="326">
        <v>1.6899999999999998E-2</v>
      </c>
      <c r="C61" s="6"/>
      <c r="D61" s="6"/>
      <c r="E61" s="6"/>
      <c r="F61" s="6"/>
      <c r="G61" s="6"/>
      <c r="H61" s="266"/>
    </row>
    <row r="62" spans="1:16" ht="18" x14ac:dyDescent="0.35">
      <c r="A62" s="327" t="s">
        <v>287</v>
      </c>
      <c r="B62" s="261"/>
      <c r="C62" s="6"/>
      <c r="D62" s="6"/>
      <c r="E62" s="6"/>
      <c r="F62" s="6"/>
      <c r="G62" s="6"/>
      <c r="H62" s="266"/>
    </row>
    <row r="63" spans="1:16" x14ac:dyDescent="0.3">
      <c r="B63" s="328"/>
      <c r="C63" s="328"/>
      <c r="D63" s="328"/>
      <c r="E63" s="328"/>
      <c r="F63" s="328"/>
      <c r="G63" s="328"/>
      <c r="H63" s="329"/>
    </row>
    <row r="64" spans="1:16" x14ac:dyDescent="0.3">
      <c r="A64">
        <v>1.0168999999999999</v>
      </c>
    </row>
  </sheetData>
  <mergeCells count="3">
    <mergeCell ref="A1:H1"/>
    <mergeCell ref="A2:H2"/>
    <mergeCell ref="M20:P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92C88F282B404BB0599DAFC91E3E79" ma:contentTypeVersion="17" ma:contentTypeDescription="Create a new document." ma:contentTypeScope="" ma:versionID="377bfe0b4d22445820024c9973b36b06">
  <xsd:schema xmlns:xsd="http://www.w3.org/2001/XMLSchema" xmlns:xs="http://www.w3.org/2001/XMLSchema" xmlns:p="http://schemas.microsoft.com/office/2006/metadata/properties" xmlns:ns2="27707e23-00c0-49d0-82f2-26e41bf0c2b6" xmlns:ns3="825cb955-067f-4d9e-a217-08296663148c" targetNamespace="http://schemas.microsoft.com/office/2006/metadata/properties" ma:root="true" ma:fieldsID="d677c9e3f1cf3f50168d7ae79514ad71" ns2:_="" ns3:_="">
    <xsd:import namespace="27707e23-00c0-49d0-82f2-26e41bf0c2b6"/>
    <xsd:import namespace="825cb955-067f-4d9e-a217-0829666314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07e23-00c0-49d0-82f2-26e41bf0c2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2c287bc-3f09-4014-afda-4ba9dca4c483}" ma:internalName="TaxCatchAll" ma:showField="CatchAllData" ma:web="27707e23-00c0-49d0-82f2-26e41bf0c2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5cb955-067f-4d9e-a217-0829666314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d0c0e85-2e45-4a8a-9b60-46965df6a3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707e23-00c0-49d0-82f2-26e41bf0c2b6" xsi:nil="true"/>
    <lcf76f155ced4ddcb4097134ff3c332f xmlns="825cb955-067f-4d9e-a217-08296663148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C7E9A9-2B0E-4E51-A31D-CD569053F0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707e23-00c0-49d0-82f2-26e41bf0c2b6"/>
    <ds:schemaRef ds:uri="825cb955-067f-4d9e-a217-0829666314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6F4D33-2919-4AC5-921F-708D2FCA493F}">
  <ds:schemaRefs>
    <ds:schemaRef ds:uri="http://schemas.microsoft.com/office/2006/metadata/properties"/>
    <ds:schemaRef ds:uri="http://www.w3.org/2000/xmlns/"/>
    <ds:schemaRef ds:uri="27707e23-00c0-49d0-82f2-26e41bf0c2b6"/>
    <ds:schemaRef ds:uri="http://www.w3.org/2001/XMLSchema-instance"/>
    <ds:schemaRef ds:uri="825cb955-067f-4d9e-a217-08296663148c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2C84302-04F6-4900-BA2B-4DB303937D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Management Acc 2019-20</vt:lpstr>
      <vt:lpstr>BUDGET 2025-26</vt:lpstr>
      <vt:lpstr>LH &amp; TENANTS EXP SHARING</vt:lpstr>
      <vt:lpstr>Payroll &amp; Cleaning</vt:lpstr>
      <vt:lpstr>WBC - Draft offer</vt:lpstr>
      <vt:lpstr>'BUDGET 2025-26'!Print_Area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</dc:creator>
  <cp:lastModifiedBy>Esnath Orlando</cp:lastModifiedBy>
  <cp:lastPrinted>2025-02-19T15:55:01Z</cp:lastPrinted>
  <dcterms:created xsi:type="dcterms:W3CDTF">2020-01-31T09:20:32Z</dcterms:created>
  <dcterms:modified xsi:type="dcterms:W3CDTF">2025-03-26T12:24:37Z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0x0101009F92C88F282B404BB0599DAFC91E3E79</vt:lpwstr>
  </property>
  <property fmtid="{D5CDD505-2E9C-101B-9397-08002B2CF9AE}" pid="3" name="MediaServiceImageTags">
    <vt:lpwstr/>
  </property>
</Properties>
</file>